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ustomProperty3.bin" ContentType="application/vnd.openxmlformats-officedocument.spreadsheetml.customProperty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240" yWindow="225" windowWidth="14805" windowHeight="7890" firstSheet="1" activeTab="1"/>
  </bookViews>
  <sheets>
    <sheet name="Chart1" sheetId="11" state="hidden" r:id="rId1"/>
    <sheet name="PriceComparison" sheetId="1" r:id="rId2"/>
    <sheet name="PriceComparisonGraphs" sheetId="2" r:id="rId3"/>
    <sheet name="PriceComparisonNormalised" sheetId="4" r:id="rId4"/>
    <sheet name="SpotVsReserved" sheetId="3" r:id="rId5"/>
    <sheet name="OnDemandVsReserved" sheetId="5" r:id="rId6"/>
    <sheet name="OnDemandVsReservedExample" sheetId="6" r:id="rId7"/>
    <sheet name="OnDemandVsReservedOverview" sheetId="7" r:id="rId8"/>
    <sheet name="OnDemandVsReservedPercentage" sheetId="9" r:id="rId9"/>
    <sheet name="DV-IDENTITY-0" sheetId="10" state="veryHidden" r:id="rId10"/>
  </sheets>
  <externalReferences>
    <externalReference r:id="rId11"/>
  </externalReferences>
  <calcPr calcId="144525"/>
</workbook>
</file>

<file path=xl/calcChain.xml><?xml version="1.0" encoding="utf-8"?>
<calcChain xmlns="http://schemas.openxmlformats.org/spreadsheetml/2006/main">
  <c r="A37" i="10" l="1"/>
  <c r="B37" i="10"/>
  <c r="C37" i="10"/>
  <c r="D37" i="10"/>
  <c r="E37" i="10"/>
  <c r="F37" i="10"/>
  <c r="A36" i="10" l="1"/>
  <c r="B36" i="10"/>
  <c r="C36" i="10"/>
  <c r="D36" i="10"/>
  <c r="E36" i="10"/>
  <c r="F36" i="10"/>
  <c r="G36" i="10"/>
  <c r="H36" i="10"/>
  <c r="I36" i="10"/>
  <c r="J36" i="10"/>
  <c r="A35" i="10"/>
  <c r="B35" i="10"/>
  <c r="C35" i="10"/>
  <c r="D35" i="10"/>
  <c r="E35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S35" i="10"/>
  <c r="T35" i="10"/>
  <c r="U35" i="10"/>
  <c r="V35" i="10"/>
  <c r="W35" i="10"/>
  <c r="X35" i="10"/>
  <c r="Y35" i="10"/>
  <c r="Z35" i="10"/>
  <c r="AA35" i="10"/>
  <c r="AB35" i="10"/>
  <c r="AC35" i="10"/>
  <c r="AD35" i="10"/>
  <c r="AE35" i="10"/>
  <c r="AF35" i="10"/>
  <c r="AG35" i="10"/>
  <c r="AH35" i="10"/>
  <c r="AI35" i="10"/>
  <c r="AJ35" i="10"/>
  <c r="AK35" i="10"/>
  <c r="AL35" i="10"/>
  <c r="AM35" i="10"/>
  <c r="AN35" i="10"/>
  <c r="AO35" i="10"/>
  <c r="AP35" i="10"/>
  <c r="AQ35" i="10"/>
  <c r="AR35" i="10"/>
  <c r="AS35" i="10"/>
  <c r="AT35" i="10"/>
  <c r="AU35" i="10"/>
  <c r="AV35" i="10"/>
  <c r="AW35" i="10"/>
  <c r="AX35" i="10"/>
  <c r="AY35" i="10"/>
  <c r="AZ35" i="10"/>
  <c r="BA35" i="10"/>
  <c r="BB35" i="10"/>
  <c r="BC35" i="10"/>
  <c r="BD35" i="10"/>
  <c r="BE35" i="10"/>
  <c r="BF35" i="10"/>
  <c r="BG35" i="10"/>
  <c r="BH35" i="10"/>
  <c r="BI35" i="10"/>
  <c r="BJ35" i="10"/>
  <c r="BK35" i="10"/>
  <c r="BL35" i="10"/>
  <c r="BM35" i="10"/>
  <c r="BN35" i="10"/>
  <c r="BO35" i="10"/>
  <c r="BP35" i="10"/>
  <c r="BQ35" i="10"/>
  <c r="BR35" i="10"/>
  <c r="BS35" i="10"/>
  <c r="BT35" i="10"/>
  <c r="BU35" i="10"/>
  <c r="BV35" i="10"/>
  <c r="BW35" i="10"/>
  <c r="BX35" i="10"/>
  <c r="BY35" i="10"/>
  <c r="BZ35" i="10"/>
  <c r="CA35" i="10"/>
  <c r="CB35" i="10"/>
  <c r="CC35" i="10"/>
  <c r="CD35" i="10"/>
  <c r="CE35" i="10"/>
  <c r="CF35" i="10"/>
  <c r="CG35" i="10"/>
  <c r="CH35" i="10"/>
  <c r="CI35" i="10"/>
  <c r="CJ35" i="10"/>
  <c r="A34" i="10"/>
  <c r="B34" i="10"/>
  <c r="C34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P34" i="10"/>
  <c r="Q34" i="10"/>
  <c r="R34" i="10"/>
  <c r="S34" i="10"/>
  <c r="T34" i="10"/>
  <c r="U34" i="10"/>
  <c r="V34" i="10"/>
  <c r="W34" i="10"/>
  <c r="X34" i="10"/>
  <c r="Y34" i="10"/>
  <c r="Z34" i="10"/>
  <c r="AA34" i="10"/>
  <c r="AB34" i="10"/>
  <c r="AC34" i="10"/>
  <c r="AD34" i="10"/>
  <c r="AE34" i="10"/>
  <c r="AF34" i="10"/>
  <c r="AG34" i="10"/>
  <c r="AH34" i="10"/>
  <c r="AI34" i="10"/>
  <c r="AJ34" i="10"/>
  <c r="AK34" i="10"/>
  <c r="AL34" i="10"/>
  <c r="AM34" i="10"/>
  <c r="AN34" i="10"/>
  <c r="AO34" i="10"/>
  <c r="AP34" i="10"/>
  <c r="AQ34" i="10"/>
  <c r="AR34" i="10"/>
  <c r="AS34" i="10"/>
  <c r="AT34" i="10"/>
  <c r="AU34" i="10"/>
  <c r="AV34" i="10"/>
  <c r="AW34" i="10"/>
  <c r="AX34" i="10"/>
  <c r="AY34" i="10"/>
  <c r="AZ34" i="10"/>
  <c r="BA34" i="10"/>
  <c r="BB34" i="10"/>
  <c r="BC34" i="10"/>
  <c r="BD34" i="10"/>
  <c r="BE34" i="10"/>
  <c r="BF34" i="10"/>
  <c r="BG34" i="10"/>
  <c r="BH34" i="10"/>
  <c r="BI34" i="10"/>
  <c r="BJ34" i="10"/>
  <c r="BK34" i="10"/>
  <c r="BL34" i="10"/>
  <c r="BM34" i="10"/>
  <c r="BN34" i="10"/>
  <c r="BO34" i="10"/>
  <c r="BP34" i="10"/>
  <c r="BQ34" i="10"/>
  <c r="BR34" i="10"/>
  <c r="BS34" i="10"/>
  <c r="BT34" i="10"/>
  <c r="BU34" i="10"/>
  <c r="BV34" i="10"/>
  <c r="BW34" i="10"/>
  <c r="BX34" i="10"/>
  <c r="BY34" i="10"/>
  <c r="BZ34" i="10"/>
  <c r="CA34" i="10"/>
  <c r="CB34" i="10"/>
  <c r="CC34" i="10"/>
  <c r="CD34" i="10"/>
  <c r="CE34" i="10"/>
  <c r="CF34" i="10"/>
  <c r="CG34" i="10"/>
  <c r="CH34" i="10"/>
  <c r="CI34" i="10"/>
  <c r="CJ34" i="10"/>
  <c r="CK34" i="10"/>
  <c r="CL34" i="10"/>
  <c r="CM34" i="10"/>
  <c r="CN34" i="10"/>
  <c r="CO34" i="10"/>
  <c r="CP34" i="10"/>
  <c r="CQ34" i="10"/>
  <c r="CR34" i="10"/>
  <c r="CS34" i="10"/>
  <c r="CT34" i="10"/>
  <c r="CU34" i="10"/>
  <c r="CV34" i="10"/>
  <c r="CW34" i="10"/>
  <c r="CX34" i="10"/>
  <c r="CY34" i="10"/>
  <c r="CZ34" i="10"/>
  <c r="DA34" i="10"/>
  <c r="DB34" i="10"/>
  <c r="DC34" i="10"/>
  <c r="DD34" i="10"/>
  <c r="DE34" i="10"/>
  <c r="DF34" i="10"/>
  <c r="DG34" i="10"/>
  <c r="DH34" i="10"/>
  <c r="DI34" i="10"/>
  <c r="DJ34" i="10"/>
  <c r="DK34" i="10"/>
  <c r="DL34" i="10"/>
  <c r="DM34" i="10"/>
  <c r="DN34" i="10"/>
  <c r="DO34" i="10"/>
  <c r="DP34" i="10"/>
  <c r="DQ34" i="10"/>
  <c r="DR34" i="10"/>
  <c r="DS34" i="10"/>
  <c r="DT34" i="10"/>
  <c r="DU34" i="10"/>
  <c r="DV34" i="10"/>
  <c r="DW34" i="10"/>
  <c r="DX34" i="10"/>
  <c r="DY34" i="10"/>
  <c r="DZ34" i="10"/>
  <c r="EA34" i="10"/>
  <c r="EB34" i="10"/>
  <c r="EC34" i="10"/>
  <c r="ED34" i="10"/>
  <c r="EE34" i="10"/>
  <c r="EF34" i="10"/>
  <c r="EG34" i="10"/>
  <c r="EH34" i="10"/>
  <c r="EI34" i="10"/>
  <c r="EJ34" i="10"/>
  <c r="EK34" i="10"/>
  <c r="EL34" i="10"/>
  <c r="EM34" i="10"/>
  <c r="EN34" i="10"/>
  <c r="EO34" i="10"/>
  <c r="EP34" i="10"/>
  <c r="EQ34" i="10"/>
  <c r="ER34" i="10"/>
  <c r="ES34" i="10"/>
  <c r="ET34" i="10"/>
  <c r="EU34" i="10"/>
  <c r="EV34" i="10"/>
  <c r="EW34" i="10"/>
  <c r="EX34" i="10"/>
  <c r="EY34" i="10"/>
  <c r="EZ34" i="10"/>
  <c r="FA34" i="10"/>
  <c r="FB34" i="10"/>
  <c r="FC34" i="10"/>
  <c r="FD34" i="10"/>
  <c r="FE34" i="10"/>
  <c r="FF34" i="10"/>
  <c r="FG34" i="10"/>
  <c r="FH34" i="10"/>
  <c r="FI34" i="10"/>
  <c r="FJ34" i="10"/>
  <c r="FK34" i="10"/>
  <c r="FL34" i="10"/>
  <c r="FM34" i="10"/>
  <c r="FN34" i="10"/>
  <c r="FO34" i="10"/>
  <c r="FP34" i="10"/>
  <c r="FQ34" i="10"/>
  <c r="FR34" i="10"/>
  <c r="FS34" i="10"/>
  <c r="FT34" i="10"/>
  <c r="FU34" i="10"/>
  <c r="FV34" i="10"/>
  <c r="FW34" i="10"/>
  <c r="FX34" i="10"/>
  <c r="FY34" i="10"/>
  <c r="FZ34" i="10"/>
  <c r="GA34" i="10"/>
  <c r="GB34" i="10"/>
  <c r="GC34" i="10"/>
  <c r="GD34" i="10"/>
  <c r="GE34" i="10"/>
  <c r="GF34" i="10"/>
  <c r="GG34" i="10"/>
  <c r="GH34" i="10"/>
  <c r="GI34" i="10"/>
  <c r="GJ34" i="10"/>
  <c r="GK34" i="10"/>
  <c r="GL34" i="10"/>
  <c r="GM34" i="10"/>
  <c r="GN34" i="10"/>
  <c r="GO34" i="10"/>
  <c r="GP34" i="10"/>
  <c r="GQ34" i="10"/>
  <c r="GR34" i="10"/>
  <c r="GS34" i="10"/>
  <c r="GT34" i="10"/>
  <c r="GU34" i="10"/>
  <c r="GV34" i="10"/>
  <c r="GW34" i="10"/>
  <c r="GX34" i="10"/>
  <c r="GY34" i="10"/>
  <c r="GZ34" i="10"/>
  <c r="HA34" i="10"/>
  <c r="HB34" i="10"/>
  <c r="HC34" i="10"/>
  <c r="HD34" i="10"/>
  <c r="HE34" i="10"/>
  <c r="HF34" i="10"/>
  <c r="HG34" i="10"/>
  <c r="HH34" i="10"/>
  <c r="HI34" i="10"/>
  <c r="HJ34" i="10"/>
  <c r="HK34" i="10"/>
  <c r="HL34" i="10"/>
  <c r="HM34" i="10"/>
  <c r="HN34" i="10"/>
  <c r="HO34" i="10"/>
  <c r="HP34" i="10"/>
  <c r="HQ34" i="10"/>
  <c r="HR34" i="10"/>
  <c r="HS34" i="10"/>
  <c r="HT34" i="10"/>
  <c r="HU34" i="10"/>
  <c r="HV34" i="10"/>
  <c r="HW34" i="10"/>
  <c r="HX34" i="10"/>
  <c r="HY34" i="10"/>
  <c r="HZ34" i="10"/>
  <c r="IA34" i="10"/>
  <c r="IB34" i="10"/>
  <c r="IC34" i="10"/>
  <c r="ID34" i="10"/>
  <c r="IE34" i="10"/>
  <c r="IF34" i="10"/>
  <c r="IG34" i="10"/>
  <c r="IH34" i="10"/>
  <c r="II34" i="10"/>
  <c r="IJ34" i="10"/>
  <c r="IK34" i="10"/>
  <c r="IL34" i="10"/>
  <c r="IM34" i="10"/>
  <c r="IN34" i="10"/>
  <c r="IO34" i="10"/>
  <c r="IP34" i="10"/>
  <c r="IQ34" i="10"/>
  <c r="IR34" i="10"/>
  <c r="IS34" i="10"/>
  <c r="IT34" i="10"/>
  <c r="IU34" i="10"/>
  <c r="IV34" i="10"/>
  <c r="E214" i="7"/>
  <c r="F214" i="7" s="1"/>
  <c r="G214" i="7" s="1"/>
  <c r="B214" i="7"/>
  <c r="C214" i="7" s="1"/>
  <c r="D214" i="7" s="1"/>
  <c r="E213" i="7"/>
  <c r="F213" i="7" s="1"/>
  <c r="G213" i="7" s="1"/>
  <c r="B213" i="7"/>
  <c r="C213" i="7" s="1"/>
  <c r="D213" i="7" s="1"/>
  <c r="E212" i="7"/>
  <c r="F212" i="7" s="1"/>
  <c r="G212" i="7" s="1"/>
  <c r="B212" i="7"/>
  <c r="C212" i="7" s="1"/>
  <c r="D212" i="7" s="1"/>
  <c r="E211" i="7"/>
  <c r="F211" i="7" s="1"/>
  <c r="G211" i="7" s="1"/>
  <c r="B211" i="7"/>
  <c r="C211" i="7" s="1"/>
  <c r="D211" i="7" s="1"/>
  <c r="E210" i="7"/>
  <c r="F210" i="7" s="1"/>
  <c r="G210" i="7" s="1"/>
  <c r="B210" i="7"/>
  <c r="C210" i="7" s="1"/>
  <c r="D210" i="7" s="1"/>
  <c r="E209" i="7"/>
  <c r="F209" i="7" s="1"/>
  <c r="G209" i="7" s="1"/>
  <c r="B209" i="7"/>
  <c r="C209" i="7" s="1"/>
  <c r="D209" i="7" s="1"/>
  <c r="E208" i="7"/>
  <c r="F208" i="7" s="1"/>
  <c r="G208" i="7" s="1"/>
  <c r="B208" i="7"/>
  <c r="C208" i="7" s="1"/>
  <c r="D208" i="7" s="1"/>
  <c r="E207" i="7"/>
  <c r="F207" i="7" s="1"/>
  <c r="G207" i="7" s="1"/>
  <c r="B207" i="7"/>
  <c r="C207" i="7" s="1"/>
  <c r="D207" i="7" s="1"/>
  <c r="E206" i="7"/>
  <c r="F206" i="7" s="1"/>
  <c r="G206" i="7" s="1"/>
  <c r="B206" i="7"/>
  <c r="C206" i="7" s="1"/>
  <c r="D206" i="7" s="1"/>
  <c r="E201" i="7"/>
  <c r="F201" i="7" s="1"/>
  <c r="G201" i="7" s="1"/>
  <c r="B201" i="7"/>
  <c r="C201" i="7" s="1"/>
  <c r="D201" i="7" s="1"/>
  <c r="E200" i="7"/>
  <c r="F200" i="7" s="1"/>
  <c r="G200" i="7" s="1"/>
  <c r="B200" i="7"/>
  <c r="C200" i="7" s="1"/>
  <c r="D200" i="7" s="1"/>
  <c r="E199" i="7"/>
  <c r="F199" i="7" s="1"/>
  <c r="G199" i="7" s="1"/>
  <c r="B199" i="7"/>
  <c r="C199" i="7" s="1"/>
  <c r="D199" i="7" s="1"/>
  <c r="E198" i="7"/>
  <c r="F198" i="7" s="1"/>
  <c r="G198" i="7" s="1"/>
  <c r="B198" i="7"/>
  <c r="C198" i="7" s="1"/>
  <c r="D198" i="7" s="1"/>
  <c r="E197" i="7"/>
  <c r="F197" i="7" s="1"/>
  <c r="G197" i="7" s="1"/>
  <c r="B197" i="7"/>
  <c r="C197" i="7" s="1"/>
  <c r="D197" i="7" s="1"/>
  <c r="E196" i="7"/>
  <c r="F196" i="7" s="1"/>
  <c r="G196" i="7" s="1"/>
  <c r="C196" i="7"/>
  <c r="D196" i="7" s="1"/>
  <c r="B196" i="7"/>
  <c r="E195" i="7"/>
  <c r="F195" i="7" s="1"/>
  <c r="G195" i="7" s="1"/>
  <c r="B195" i="7"/>
  <c r="C195" i="7" s="1"/>
  <c r="D195" i="7" s="1"/>
  <c r="E194" i="7"/>
  <c r="F194" i="7" s="1"/>
  <c r="G194" i="7" s="1"/>
  <c r="B194" i="7"/>
  <c r="C194" i="7" s="1"/>
  <c r="D194" i="7" s="1"/>
  <c r="E193" i="7"/>
  <c r="F193" i="7" s="1"/>
  <c r="G193" i="7" s="1"/>
  <c r="B193" i="7"/>
  <c r="C193" i="7" s="1"/>
  <c r="D193" i="7" s="1"/>
  <c r="A33" i="10"/>
  <c r="B33" i="10"/>
  <c r="C33" i="10"/>
  <c r="D33" i="10"/>
  <c r="E33" i="10"/>
  <c r="F33" i="10"/>
  <c r="G33" i="10"/>
  <c r="H33" i="10"/>
  <c r="I33" i="10"/>
  <c r="J33" i="10"/>
  <c r="K33" i="10"/>
  <c r="L33" i="10"/>
  <c r="M33" i="10"/>
  <c r="N33" i="10"/>
  <c r="O33" i="10"/>
  <c r="P33" i="10"/>
  <c r="Q33" i="10"/>
  <c r="R33" i="10"/>
  <c r="S33" i="10"/>
  <c r="T33" i="10"/>
  <c r="U33" i="10"/>
  <c r="V33" i="10"/>
  <c r="W33" i="10"/>
  <c r="X33" i="10"/>
  <c r="Y33" i="10"/>
  <c r="Z33" i="10"/>
  <c r="AA33" i="10"/>
  <c r="AB33" i="10"/>
  <c r="AC33" i="10"/>
  <c r="AD33" i="10"/>
  <c r="AE33" i="10"/>
  <c r="AF33" i="10"/>
  <c r="AG33" i="10"/>
  <c r="AH33" i="10"/>
  <c r="AI33" i="10"/>
  <c r="AJ33" i="10"/>
  <c r="AK33" i="10"/>
  <c r="AL33" i="10"/>
  <c r="AM33" i="10"/>
  <c r="AN33" i="10"/>
  <c r="AO33" i="10"/>
  <c r="AP33" i="10"/>
  <c r="AQ33" i="10"/>
  <c r="AR33" i="10"/>
  <c r="AS33" i="10"/>
  <c r="AT33" i="10"/>
  <c r="AU33" i="10"/>
  <c r="AV33" i="10"/>
  <c r="AW33" i="10"/>
  <c r="AX33" i="10"/>
  <c r="AY33" i="10"/>
  <c r="AZ33" i="10"/>
  <c r="BA33" i="10"/>
  <c r="BB33" i="10"/>
  <c r="A32" i="10"/>
  <c r="B32" i="10"/>
  <c r="C32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P32" i="10"/>
  <c r="Q32" i="10"/>
  <c r="R32" i="10"/>
  <c r="S32" i="10"/>
  <c r="T32" i="10"/>
  <c r="U32" i="10"/>
  <c r="V32" i="10"/>
  <c r="W32" i="10"/>
  <c r="X32" i="10"/>
  <c r="Y32" i="10"/>
  <c r="Z32" i="10"/>
  <c r="AA32" i="10"/>
  <c r="AB32" i="10"/>
  <c r="AC32" i="10"/>
  <c r="AD32" i="10"/>
  <c r="AE32" i="10"/>
  <c r="AF32" i="10"/>
  <c r="AG32" i="10"/>
  <c r="AH32" i="10"/>
  <c r="AI32" i="10"/>
  <c r="AJ32" i="10"/>
  <c r="AK32" i="10"/>
  <c r="AL32" i="10"/>
  <c r="AM32" i="10"/>
  <c r="AN32" i="10"/>
  <c r="AO32" i="10"/>
  <c r="AP32" i="10"/>
  <c r="AQ32" i="10"/>
  <c r="AR32" i="10"/>
  <c r="AS32" i="10"/>
  <c r="AT32" i="10"/>
  <c r="AU32" i="10"/>
  <c r="AV32" i="10"/>
  <c r="AW32" i="10"/>
  <c r="AX32" i="10"/>
  <c r="AY32" i="10"/>
  <c r="AZ32" i="10"/>
  <c r="BA32" i="10"/>
  <c r="BB32" i="10"/>
  <c r="BC32" i="10"/>
  <c r="BD32" i="10"/>
  <c r="BE32" i="10"/>
  <c r="BF32" i="10"/>
  <c r="BG32" i="10"/>
  <c r="BH32" i="10"/>
  <c r="BI32" i="10"/>
  <c r="BJ32" i="10"/>
  <c r="BK32" i="10"/>
  <c r="BL32" i="10"/>
  <c r="BM32" i="10"/>
  <c r="BN32" i="10"/>
  <c r="BO32" i="10"/>
  <c r="BP32" i="10"/>
  <c r="BQ32" i="10"/>
  <c r="BR32" i="10"/>
  <c r="BS32" i="10"/>
  <c r="BT32" i="10"/>
  <c r="BU32" i="10"/>
  <c r="BV32" i="10"/>
  <c r="BW32" i="10"/>
  <c r="BX32" i="10"/>
  <c r="BY32" i="10"/>
  <c r="BZ32" i="10"/>
  <c r="CA32" i="10"/>
  <c r="CB32" i="10"/>
  <c r="CC32" i="10"/>
  <c r="CD32" i="10"/>
  <c r="CE32" i="10"/>
  <c r="CF32" i="10"/>
  <c r="CG32" i="10"/>
  <c r="CH32" i="10"/>
  <c r="CI32" i="10"/>
  <c r="CJ32" i="10"/>
  <c r="CK32" i="10"/>
  <c r="CL32" i="10"/>
  <c r="CM32" i="10"/>
  <c r="CN32" i="10"/>
  <c r="CO32" i="10"/>
  <c r="CP32" i="10"/>
  <c r="CQ32" i="10"/>
  <c r="CR32" i="10"/>
  <c r="CS32" i="10"/>
  <c r="CT32" i="10"/>
  <c r="CU32" i="10"/>
  <c r="CV32" i="10"/>
  <c r="CW32" i="10"/>
  <c r="CX32" i="10"/>
  <c r="CY32" i="10"/>
  <c r="CZ32" i="10"/>
  <c r="DA32" i="10"/>
  <c r="DB32" i="10"/>
  <c r="DC32" i="10"/>
  <c r="DD32" i="10"/>
  <c r="DE32" i="10"/>
  <c r="DF32" i="10"/>
  <c r="DG32" i="10"/>
  <c r="DH32" i="10"/>
  <c r="DI32" i="10"/>
  <c r="DJ32" i="10"/>
  <c r="DK32" i="10"/>
  <c r="DL32" i="10"/>
  <c r="DM32" i="10"/>
  <c r="DN32" i="10"/>
  <c r="DO32" i="10"/>
  <c r="DP32" i="10"/>
  <c r="DQ32" i="10"/>
  <c r="DR32" i="10"/>
  <c r="DS32" i="10"/>
  <c r="DT32" i="10"/>
  <c r="DU32" i="10"/>
  <c r="DV32" i="10"/>
  <c r="DW32" i="10"/>
  <c r="DX32" i="10"/>
  <c r="DY32" i="10"/>
  <c r="DZ32" i="10"/>
  <c r="EA32" i="10"/>
  <c r="EB32" i="10"/>
  <c r="EC32" i="10"/>
  <c r="ED32" i="10"/>
  <c r="EE32" i="10"/>
  <c r="EF32" i="10"/>
  <c r="C140" i="4"/>
  <c r="C141" i="4"/>
  <c r="C142" i="4"/>
  <c r="C143" i="4"/>
  <c r="C144" i="4"/>
  <c r="C145" i="4"/>
  <c r="C146" i="4"/>
  <c r="C147" i="4"/>
  <c r="C148" i="4"/>
  <c r="C139" i="4"/>
  <c r="C138" i="4"/>
  <c r="B140" i="4"/>
  <c r="B141" i="4"/>
  <c r="B142" i="4"/>
  <c r="B143" i="4"/>
  <c r="B144" i="4"/>
  <c r="B145" i="4"/>
  <c r="B146" i="4"/>
  <c r="B147" i="4"/>
  <c r="B148" i="4"/>
  <c r="B139" i="4"/>
  <c r="B138" i="4"/>
  <c r="A146" i="4"/>
  <c r="A145" i="4"/>
  <c r="A144" i="4"/>
  <c r="A143" i="4"/>
  <c r="A142" i="4"/>
  <c r="A141" i="4"/>
  <c r="A140" i="4"/>
  <c r="A139" i="4"/>
  <c r="A138" i="4"/>
  <c r="B15" i="4"/>
  <c r="A15" i="4"/>
  <c r="A31" i="10"/>
  <c r="B31" i="10"/>
  <c r="C31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X31" i="10"/>
  <c r="Y31" i="10"/>
  <c r="Z31" i="10"/>
  <c r="AA31" i="10"/>
  <c r="AB31" i="10"/>
  <c r="AC31" i="10"/>
  <c r="AD31" i="10"/>
  <c r="AE31" i="10"/>
  <c r="AF31" i="10"/>
  <c r="AG31" i="10"/>
  <c r="AH31" i="10"/>
  <c r="AI31" i="10"/>
  <c r="AJ31" i="10"/>
  <c r="AK31" i="10"/>
  <c r="AL31" i="10"/>
  <c r="AM31" i="10"/>
  <c r="AN31" i="10"/>
  <c r="AO31" i="10"/>
  <c r="AP31" i="10"/>
  <c r="AQ31" i="10"/>
  <c r="AR31" i="10"/>
  <c r="AS31" i="10"/>
  <c r="AT31" i="10"/>
  <c r="AU31" i="10"/>
  <c r="AV31" i="10"/>
  <c r="AW31" i="10"/>
  <c r="AX31" i="10"/>
  <c r="AY31" i="10"/>
  <c r="AZ31" i="10"/>
  <c r="BA31" i="10"/>
  <c r="BB31" i="10"/>
  <c r="BC31" i="10"/>
  <c r="BD31" i="10"/>
  <c r="BE31" i="10"/>
  <c r="BF31" i="10"/>
  <c r="BG31" i="10"/>
  <c r="BH31" i="10"/>
  <c r="BI31" i="10"/>
  <c r="BJ31" i="10"/>
  <c r="BK31" i="10"/>
  <c r="BL31" i="10"/>
  <c r="BM31" i="10"/>
  <c r="BN31" i="10"/>
  <c r="F103" i="1"/>
  <c r="F104" i="1"/>
  <c r="F105" i="1"/>
  <c r="F106" i="1"/>
  <c r="F107" i="1"/>
  <c r="F108" i="1"/>
  <c r="F109" i="1"/>
  <c r="F102" i="1"/>
  <c r="F101" i="1"/>
  <c r="E103" i="1"/>
  <c r="E104" i="1"/>
  <c r="E105" i="1"/>
  <c r="E106" i="1"/>
  <c r="E107" i="1"/>
  <c r="E108" i="1"/>
  <c r="E109" i="1"/>
  <c r="E102" i="1"/>
  <c r="E101" i="1"/>
  <c r="D109" i="1"/>
  <c r="D108" i="1"/>
  <c r="D107" i="1"/>
  <c r="D106" i="1"/>
  <c r="D105" i="1"/>
  <c r="D104" i="1"/>
  <c r="D103" i="1"/>
  <c r="D102" i="1"/>
  <c r="D101" i="1"/>
  <c r="G81" i="1"/>
  <c r="F81" i="1"/>
  <c r="A30" i="10"/>
  <c r="B30" i="10"/>
  <c r="C30" i="10"/>
  <c r="D30" i="10"/>
  <c r="E30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T30" i="10"/>
  <c r="U30" i="10"/>
  <c r="V30" i="10"/>
  <c r="W30" i="10"/>
  <c r="X30" i="10"/>
  <c r="Y30" i="10"/>
  <c r="Z30" i="10"/>
  <c r="AA30" i="10"/>
  <c r="AB30" i="10"/>
  <c r="AC30" i="10"/>
  <c r="AD30" i="10"/>
  <c r="AE30" i="10"/>
  <c r="AF30" i="10"/>
  <c r="AG30" i="10"/>
  <c r="AH30" i="10"/>
  <c r="AI30" i="10"/>
  <c r="AJ30" i="10"/>
  <c r="AK30" i="10"/>
  <c r="AL30" i="10"/>
  <c r="AM30" i="10"/>
  <c r="AN30" i="10"/>
  <c r="AO30" i="10"/>
  <c r="AP30" i="10"/>
  <c r="AQ30" i="10"/>
  <c r="AR30" i="10"/>
  <c r="AS30" i="10"/>
  <c r="AT30" i="10"/>
  <c r="AU30" i="10"/>
  <c r="AV30" i="10"/>
  <c r="AW30" i="10"/>
  <c r="AX30" i="10"/>
  <c r="AY30" i="10"/>
  <c r="AZ30" i="10"/>
  <c r="BA30" i="10"/>
  <c r="BB30" i="10"/>
  <c r="BC30" i="10"/>
  <c r="BD30" i="10"/>
  <c r="BE30" i="10"/>
  <c r="BF30" i="10"/>
  <c r="BG30" i="10"/>
  <c r="BH30" i="10"/>
  <c r="BI30" i="10"/>
  <c r="BJ30" i="10"/>
  <c r="BK30" i="10"/>
  <c r="A29" i="10"/>
  <c r="B29" i="10"/>
  <c r="C29" i="10"/>
  <c r="D29" i="10"/>
  <c r="E29" i="10"/>
  <c r="F29" i="10"/>
  <c r="A28" i="10"/>
  <c r="B28" i="10"/>
  <c r="C28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AY28" i="10"/>
  <c r="AZ28" i="10"/>
  <c r="BA28" i="10"/>
  <c r="BB28" i="10"/>
  <c r="BC28" i="10"/>
  <c r="BD28" i="10"/>
  <c r="BE28" i="10"/>
  <c r="BF28" i="10"/>
  <c r="BG28" i="10"/>
  <c r="BH28" i="10"/>
  <c r="BI28" i="10"/>
  <c r="BJ28" i="10"/>
  <c r="BK28" i="10"/>
  <c r="BL28" i="10"/>
  <c r="BM28" i="10"/>
  <c r="BN28" i="10"/>
  <c r="BO28" i="10"/>
  <c r="BP28" i="10"/>
  <c r="BQ28" i="10"/>
  <c r="BR28" i="10"/>
  <c r="BS28" i="10"/>
  <c r="BT28" i="10"/>
  <c r="BU28" i="10"/>
  <c r="BV28" i="10"/>
  <c r="BW28" i="10"/>
  <c r="BX28" i="10"/>
  <c r="BY28" i="10"/>
  <c r="BZ28" i="10"/>
  <c r="CA28" i="10"/>
  <c r="CB28" i="10"/>
  <c r="CC28" i="10"/>
  <c r="CD28" i="10"/>
  <c r="CE28" i="10"/>
  <c r="CF28" i="10"/>
  <c r="CG28" i="10"/>
  <c r="CH28" i="10"/>
  <c r="CI28" i="10"/>
  <c r="CJ28" i="10"/>
  <c r="CK28" i="10"/>
  <c r="CL28" i="10"/>
  <c r="CM28" i="10"/>
  <c r="CN28" i="10"/>
  <c r="CO28" i="10"/>
  <c r="CP28" i="10"/>
  <c r="CQ28" i="10"/>
  <c r="CR28" i="10"/>
  <c r="CS28" i="10"/>
  <c r="CT28" i="10"/>
  <c r="CU28" i="10"/>
  <c r="CV28" i="10"/>
  <c r="CW28" i="10"/>
  <c r="CX28" i="10"/>
  <c r="CY28" i="10"/>
  <c r="CZ28" i="10"/>
  <c r="DA28" i="10"/>
  <c r="DB28" i="10"/>
  <c r="DC28" i="10"/>
  <c r="DD28" i="10"/>
  <c r="DE28" i="10"/>
  <c r="DF28" i="10"/>
  <c r="DG28" i="10"/>
  <c r="DH28" i="10"/>
  <c r="DI28" i="10"/>
  <c r="DJ28" i="10"/>
  <c r="DK28" i="10"/>
  <c r="DL28" i="10"/>
  <c r="DM28" i="10"/>
  <c r="DN28" i="10"/>
  <c r="DO28" i="10"/>
  <c r="DP28" i="10"/>
  <c r="DQ28" i="10"/>
  <c r="DR28" i="10"/>
  <c r="DS28" i="10"/>
  <c r="DT28" i="10"/>
  <c r="DU28" i="10"/>
  <c r="DV28" i="10"/>
  <c r="DW28" i="10"/>
  <c r="DX28" i="10"/>
  <c r="DY28" i="10"/>
  <c r="DZ28" i="10"/>
  <c r="EA28" i="10"/>
  <c r="EB28" i="10"/>
  <c r="EC28" i="10"/>
  <c r="ED28" i="10"/>
  <c r="EE28" i="10"/>
  <c r="EF28" i="10"/>
  <c r="EG28" i="10"/>
  <c r="EH28" i="10"/>
  <c r="EI28" i="10"/>
  <c r="EJ28" i="10"/>
  <c r="EK28" i="10"/>
  <c r="EL28" i="10"/>
  <c r="EM28" i="10"/>
  <c r="EN28" i="10"/>
  <c r="EO28" i="10"/>
  <c r="EP28" i="10"/>
  <c r="EQ28" i="10"/>
  <c r="A27" i="10"/>
  <c r="B27" i="10"/>
  <c r="C27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Z27" i="10"/>
  <c r="AA27" i="10"/>
  <c r="AB27" i="10"/>
  <c r="AC27" i="10"/>
  <c r="AD27" i="10"/>
  <c r="AE27" i="10"/>
  <c r="AF27" i="10"/>
  <c r="AG27" i="10"/>
  <c r="AH27" i="10"/>
  <c r="AI27" i="10"/>
  <c r="AJ27" i="10"/>
  <c r="AK27" i="10"/>
  <c r="AL27" i="10"/>
  <c r="AM27" i="10"/>
  <c r="AN27" i="10"/>
  <c r="AO27" i="10"/>
  <c r="AP27" i="10"/>
  <c r="AQ27" i="10"/>
  <c r="AR27" i="10"/>
  <c r="AS27" i="10"/>
  <c r="AT27" i="10"/>
  <c r="AU27" i="10"/>
  <c r="AV27" i="10"/>
  <c r="AW27" i="10"/>
  <c r="AX27" i="10"/>
  <c r="AY27" i="10"/>
  <c r="AZ27" i="10"/>
  <c r="BA27" i="10"/>
  <c r="BB27" i="10"/>
  <c r="BC27" i="10"/>
  <c r="BD27" i="10"/>
  <c r="BE27" i="10"/>
  <c r="BF27" i="10"/>
  <c r="BG27" i="10"/>
  <c r="BH27" i="10"/>
  <c r="BI27" i="10"/>
  <c r="BJ27" i="10"/>
  <c r="BK27" i="10"/>
  <c r="BL27" i="10"/>
  <c r="BM27" i="10"/>
  <c r="BN27" i="10"/>
  <c r="BO27" i="10"/>
  <c r="BP27" i="10"/>
  <c r="BQ27" i="10"/>
  <c r="BR27" i="10"/>
  <c r="BS27" i="10"/>
  <c r="BT27" i="10"/>
  <c r="BU27" i="10"/>
  <c r="BV27" i="10"/>
  <c r="BW27" i="10"/>
  <c r="BX27" i="10"/>
  <c r="BY27" i="10"/>
  <c r="BZ27" i="10"/>
  <c r="CA27" i="10"/>
  <c r="CB27" i="10"/>
  <c r="CC27" i="10"/>
  <c r="CD27" i="10"/>
  <c r="CE27" i="10"/>
  <c r="CF27" i="10"/>
  <c r="CG27" i="10"/>
  <c r="CH27" i="10"/>
  <c r="CI27" i="10"/>
  <c r="CJ27" i="10"/>
  <c r="CK27" i="10"/>
  <c r="CL27" i="10"/>
  <c r="CM27" i="10"/>
  <c r="CN27" i="10"/>
  <c r="CO27" i="10"/>
  <c r="CP27" i="10"/>
  <c r="CQ27" i="10"/>
  <c r="CR27" i="10"/>
  <c r="CS27" i="10"/>
  <c r="CT27" i="10"/>
  <c r="CU27" i="10"/>
  <c r="CV27" i="10"/>
  <c r="CW27" i="10"/>
  <c r="CX27" i="10"/>
  <c r="CY27" i="10"/>
  <c r="CZ27" i="10"/>
  <c r="DA27" i="10"/>
  <c r="DB27" i="10"/>
  <c r="DC27" i="10"/>
  <c r="DD27" i="10"/>
  <c r="DE27" i="10"/>
  <c r="DF27" i="10"/>
  <c r="DG27" i="10"/>
  <c r="DH27" i="10"/>
  <c r="DI27" i="10"/>
  <c r="DJ27" i="10"/>
  <c r="DK27" i="10"/>
  <c r="DL27" i="10"/>
  <c r="DM27" i="10"/>
  <c r="DN27" i="10"/>
  <c r="DO27" i="10"/>
  <c r="DP27" i="10"/>
  <c r="DQ27" i="10"/>
  <c r="DR27" i="10"/>
  <c r="DS27" i="10"/>
  <c r="DT27" i="10"/>
  <c r="DU27" i="10"/>
  <c r="DV27" i="10"/>
  <c r="DW27" i="10"/>
  <c r="DX27" i="10"/>
  <c r="DY27" i="10"/>
  <c r="DZ27" i="10"/>
  <c r="EA27" i="10"/>
  <c r="EB27" i="10"/>
  <c r="EC27" i="10"/>
  <c r="ED27" i="10"/>
  <c r="EE27" i="10"/>
  <c r="EF27" i="10"/>
  <c r="EG27" i="10"/>
  <c r="EH27" i="10"/>
  <c r="EI27" i="10"/>
  <c r="EJ27" i="10"/>
  <c r="EK27" i="10"/>
  <c r="EL27" i="10"/>
  <c r="EM27" i="10"/>
  <c r="EN27" i="10"/>
  <c r="EO27" i="10"/>
  <c r="EP27" i="10"/>
  <c r="EQ27" i="10"/>
  <c r="ER27" i="10"/>
  <c r="ES27" i="10"/>
  <c r="ET27" i="10"/>
  <c r="EU27" i="10"/>
  <c r="EV27" i="10"/>
  <c r="EW27" i="10"/>
  <c r="EX27" i="10"/>
  <c r="EY27" i="10"/>
  <c r="EZ27" i="10"/>
  <c r="FA27" i="10"/>
  <c r="FB27" i="10"/>
  <c r="FC27" i="10"/>
  <c r="FD27" i="10"/>
  <c r="FE27" i="10"/>
  <c r="FF27" i="10"/>
  <c r="FG27" i="10"/>
  <c r="FH27" i="10"/>
  <c r="FI27" i="10"/>
  <c r="FJ27" i="10"/>
  <c r="FK27" i="10"/>
  <c r="FL27" i="10"/>
  <c r="FM27" i="10"/>
  <c r="FN27" i="10"/>
  <c r="FO27" i="10"/>
  <c r="FP27" i="10"/>
  <c r="FQ27" i="10"/>
  <c r="FR27" i="10"/>
  <c r="FS27" i="10"/>
  <c r="FT27" i="10"/>
  <c r="FU27" i="10"/>
  <c r="FV27" i="10"/>
  <c r="FW27" i="10"/>
  <c r="FX27" i="10"/>
  <c r="FY27" i="10"/>
  <c r="FZ27" i="10"/>
  <c r="GA27" i="10"/>
  <c r="GB27" i="10"/>
  <c r="GC27" i="10"/>
  <c r="GD27" i="10"/>
  <c r="GE27" i="10"/>
  <c r="GF27" i="10"/>
  <c r="GG27" i="10"/>
  <c r="GH27" i="10"/>
  <c r="GI27" i="10"/>
  <c r="GJ27" i="10"/>
  <c r="GK27" i="10"/>
  <c r="GL27" i="10"/>
  <c r="GM27" i="10"/>
  <c r="GN27" i="10"/>
  <c r="GO27" i="10"/>
  <c r="GP27" i="10"/>
  <c r="GQ27" i="10"/>
  <c r="GR27" i="10"/>
  <c r="GS27" i="10"/>
  <c r="GT27" i="10"/>
  <c r="GU27" i="10"/>
  <c r="GV27" i="10"/>
  <c r="GW27" i="10"/>
  <c r="GX27" i="10"/>
  <c r="GY27" i="10"/>
  <c r="GZ27" i="10"/>
  <c r="HA27" i="10"/>
  <c r="HB27" i="10"/>
  <c r="HC27" i="10"/>
  <c r="HD27" i="10"/>
  <c r="HE27" i="10"/>
  <c r="HF27" i="10"/>
  <c r="HG27" i="10"/>
  <c r="HH27" i="10"/>
  <c r="HI27" i="10"/>
  <c r="HJ27" i="10"/>
  <c r="HK27" i="10"/>
  <c r="HL27" i="10"/>
  <c r="HM27" i="10"/>
  <c r="HN27" i="10"/>
  <c r="HO27" i="10"/>
  <c r="HP27" i="10"/>
  <c r="HQ27" i="10"/>
  <c r="HR27" i="10"/>
  <c r="HS27" i="10"/>
  <c r="HT27" i="10"/>
  <c r="HU27" i="10"/>
  <c r="HV27" i="10"/>
  <c r="HW27" i="10"/>
  <c r="HX27" i="10"/>
  <c r="HY27" i="10"/>
  <c r="HZ27" i="10"/>
  <c r="IA27" i="10"/>
  <c r="IB27" i="10"/>
  <c r="IC27" i="10"/>
  <c r="ID27" i="10"/>
  <c r="IE27" i="10"/>
  <c r="IF27" i="10"/>
  <c r="IG27" i="10"/>
  <c r="IH27" i="10"/>
  <c r="II27" i="10"/>
  <c r="IJ27" i="10"/>
  <c r="IK27" i="10"/>
  <c r="IL27" i="10"/>
  <c r="IM27" i="10"/>
  <c r="IN27" i="10"/>
  <c r="IO27" i="10"/>
  <c r="IP27" i="10"/>
  <c r="IQ27" i="10"/>
  <c r="IR27" i="10"/>
  <c r="IS27" i="10"/>
  <c r="IT27" i="10"/>
  <c r="IU27" i="10"/>
  <c r="IV27" i="10"/>
  <c r="A26" i="10"/>
  <c r="B26" i="10"/>
  <c r="C26" i="10"/>
  <c r="D26" i="10"/>
  <c r="E26" i="10"/>
  <c r="F26" i="10"/>
  <c r="G26" i="10"/>
  <c r="H26" i="10"/>
  <c r="I26" i="10"/>
  <c r="J26" i="10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Y26" i="10"/>
  <c r="Z26" i="10"/>
  <c r="AA26" i="10"/>
  <c r="AB26" i="10"/>
  <c r="AC26" i="10"/>
  <c r="AD26" i="10"/>
  <c r="AE26" i="10"/>
  <c r="AF26" i="10"/>
  <c r="AG26" i="10"/>
  <c r="AH26" i="10"/>
  <c r="AI26" i="10"/>
  <c r="AJ26" i="10"/>
  <c r="AK26" i="10"/>
  <c r="AL26" i="10"/>
  <c r="AM26" i="10"/>
  <c r="AN26" i="10"/>
  <c r="AO26" i="10"/>
  <c r="AP26" i="10"/>
  <c r="AQ26" i="10"/>
  <c r="AR26" i="10"/>
  <c r="AS26" i="10"/>
  <c r="AT26" i="10"/>
  <c r="AU26" i="10"/>
  <c r="AV26" i="10"/>
  <c r="AW26" i="10"/>
  <c r="AX26" i="10"/>
  <c r="AY26" i="10"/>
  <c r="AZ26" i="10"/>
  <c r="BA26" i="10"/>
  <c r="BB26" i="10"/>
  <c r="BC26" i="10"/>
  <c r="BD26" i="10"/>
  <c r="BE26" i="10"/>
  <c r="BF26" i="10"/>
  <c r="BG26" i="10"/>
  <c r="BH26" i="10"/>
  <c r="BI26" i="10"/>
  <c r="BJ26" i="10"/>
  <c r="BK26" i="10"/>
  <c r="BL26" i="10"/>
  <c r="BM26" i="10"/>
  <c r="BN26" i="10"/>
  <c r="BO26" i="10"/>
  <c r="BP26" i="10"/>
  <c r="BQ26" i="10"/>
  <c r="BR26" i="10"/>
  <c r="BS26" i="10"/>
  <c r="BT26" i="10"/>
  <c r="BU26" i="10"/>
  <c r="BV26" i="10"/>
  <c r="BW26" i="10"/>
  <c r="BX26" i="10"/>
  <c r="BY26" i="10"/>
  <c r="BZ26" i="10"/>
  <c r="CA26" i="10"/>
  <c r="CB26" i="10"/>
  <c r="CC26" i="10"/>
  <c r="CD26" i="10"/>
  <c r="CE26" i="10"/>
  <c r="CF26" i="10"/>
  <c r="CG26" i="10"/>
  <c r="CH26" i="10"/>
  <c r="CI26" i="10"/>
  <c r="CJ26" i="10"/>
  <c r="CK26" i="10"/>
  <c r="CL26" i="10"/>
  <c r="CM26" i="10"/>
  <c r="CN26" i="10"/>
  <c r="CO26" i="10"/>
  <c r="CP26" i="10"/>
  <c r="CQ26" i="10"/>
  <c r="CR26" i="10"/>
  <c r="CS26" i="10"/>
  <c r="CT26" i="10"/>
  <c r="CU26" i="10"/>
  <c r="CV26" i="10"/>
  <c r="CW26" i="10"/>
  <c r="CX26" i="10"/>
  <c r="CY26" i="10"/>
  <c r="CZ26" i="10"/>
  <c r="DA26" i="10"/>
  <c r="DB26" i="10"/>
  <c r="DC26" i="10"/>
  <c r="DD26" i="10"/>
  <c r="DE26" i="10"/>
  <c r="DF26" i="10"/>
  <c r="DG26" i="10"/>
  <c r="DH26" i="10"/>
  <c r="DI26" i="10"/>
  <c r="DJ26" i="10"/>
  <c r="DK26" i="10"/>
  <c r="DL26" i="10"/>
  <c r="DM26" i="10"/>
  <c r="DN26" i="10"/>
  <c r="DO26" i="10"/>
  <c r="DP26" i="10"/>
  <c r="DQ26" i="10"/>
  <c r="DR26" i="10"/>
  <c r="DS26" i="10"/>
  <c r="DT26" i="10"/>
  <c r="DU26" i="10"/>
  <c r="DV26" i="10"/>
  <c r="DW26" i="10"/>
  <c r="DX26" i="10"/>
  <c r="DY26" i="10"/>
  <c r="DZ26" i="10"/>
  <c r="EA26" i="10"/>
  <c r="EB26" i="10"/>
  <c r="EC26" i="10"/>
  <c r="ED26" i="10"/>
  <c r="EE26" i="10"/>
  <c r="EF26" i="10"/>
  <c r="EG26" i="10"/>
  <c r="EH26" i="10"/>
  <c r="EI26" i="10"/>
  <c r="EJ26" i="10"/>
  <c r="EK26" i="10"/>
  <c r="EL26" i="10"/>
  <c r="EM26" i="10"/>
  <c r="EN26" i="10"/>
  <c r="EO26" i="10"/>
  <c r="EP26" i="10"/>
  <c r="EQ26" i="10"/>
  <c r="ER26" i="10"/>
  <c r="ES26" i="10"/>
  <c r="ET26" i="10"/>
  <c r="EU26" i="10"/>
  <c r="EV26" i="10"/>
  <c r="EW26" i="10"/>
  <c r="EX26" i="10"/>
  <c r="EY26" i="10"/>
  <c r="EZ26" i="10"/>
  <c r="FA26" i="10"/>
  <c r="FB26" i="10"/>
  <c r="FC26" i="10"/>
  <c r="FD26" i="10"/>
  <c r="FE26" i="10"/>
  <c r="FF26" i="10"/>
  <c r="FG26" i="10"/>
  <c r="FH26" i="10"/>
  <c r="FI26" i="10"/>
  <c r="FJ26" i="10"/>
  <c r="FK26" i="10"/>
  <c r="FL26" i="10"/>
  <c r="FM26" i="10"/>
  <c r="FN26" i="10"/>
  <c r="FO26" i="10"/>
  <c r="FP26" i="10"/>
  <c r="FQ26" i="10"/>
  <c r="FR26" i="10"/>
  <c r="FS26" i="10"/>
  <c r="FT26" i="10"/>
  <c r="FU26" i="10"/>
  <c r="FV26" i="10"/>
  <c r="FW26" i="10"/>
  <c r="FX26" i="10"/>
  <c r="FY26" i="10"/>
  <c r="FZ26" i="10"/>
  <c r="GA26" i="10"/>
  <c r="GB26" i="10"/>
  <c r="GC26" i="10"/>
  <c r="GD26" i="10"/>
  <c r="GE26" i="10"/>
  <c r="GF26" i="10"/>
  <c r="GG26" i="10"/>
  <c r="GH26" i="10"/>
  <c r="GI26" i="10"/>
  <c r="GJ26" i="10"/>
  <c r="GK26" i="10"/>
  <c r="GL26" i="10"/>
  <c r="GM26" i="10"/>
  <c r="GN26" i="10"/>
  <c r="GO26" i="10"/>
  <c r="GP26" i="10"/>
  <c r="GQ26" i="10"/>
  <c r="GR26" i="10"/>
  <c r="GS26" i="10"/>
  <c r="GT26" i="10"/>
  <c r="GU26" i="10"/>
  <c r="GV26" i="10"/>
  <c r="GW26" i="10"/>
  <c r="GX26" i="10"/>
  <c r="GY26" i="10"/>
  <c r="GZ26" i="10"/>
  <c r="HA26" i="10"/>
  <c r="HB26" i="10"/>
  <c r="HC26" i="10"/>
  <c r="HD26" i="10"/>
  <c r="HE26" i="10"/>
  <c r="HF26" i="10"/>
  <c r="HG26" i="10"/>
  <c r="HH26" i="10"/>
  <c r="HI26" i="10"/>
  <c r="HJ26" i="10"/>
  <c r="HK26" i="10"/>
  <c r="HL26" i="10"/>
  <c r="HM26" i="10"/>
  <c r="HN26" i="10"/>
  <c r="HO26" i="10"/>
  <c r="HP26" i="10"/>
  <c r="HQ26" i="10"/>
  <c r="HR26" i="10"/>
  <c r="HS26" i="10"/>
  <c r="HT26" i="10"/>
  <c r="HU26" i="10"/>
  <c r="HV26" i="10"/>
  <c r="HW26" i="10"/>
  <c r="HX26" i="10"/>
  <c r="HY26" i="10"/>
  <c r="HZ26" i="10"/>
  <c r="IA26" i="10"/>
  <c r="IB26" i="10"/>
  <c r="IC26" i="10"/>
  <c r="ID26" i="10"/>
  <c r="IE26" i="10"/>
  <c r="IF26" i="10"/>
  <c r="IG26" i="10"/>
  <c r="IH26" i="10"/>
  <c r="II26" i="10"/>
  <c r="IJ26" i="10"/>
  <c r="IK26" i="10"/>
  <c r="IL26" i="10"/>
  <c r="IM26" i="10"/>
  <c r="IN26" i="10"/>
  <c r="IO26" i="10"/>
  <c r="IP26" i="10"/>
  <c r="IQ26" i="10"/>
  <c r="IR26" i="10"/>
  <c r="IS26" i="10"/>
  <c r="IT26" i="10"/>
  <c r="IU26" i="10"/>
  <c r="IV26" i="10"/>
  <c r="A25" i="10"/>
  <c r="B25" i="10"/>
  <c r="C25" i="10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D25" i="10"/>
  <c r="AE25" i="10"/>
  <c r="AF25" i="10"/>
  <c r="AG25" i="10"/>
  <c r="AH25" i="10"/>
  <c r="AI25" i="10"/>
  <c r="AJ25" i="10"/>
  <c r="AK25" i="10"/>
  <c r="AL25" i="10"/>
  <c r="AM25" i="10"/>
  <c r="AN25" i="10"/>
  <c r="AO25" i="10"/>
  <c r="AP25" i="10"/>
  <c r="AQ25" i="10"/>
  <c r="AR25" i="10"/>
  <c r="AS25" i="10"/>
  <c r="AT25" i="10"/>
  <c r="AU25" i="10"/>
  <c r="AV25" i="10"/>
  <c r="AW25" i="10"/>
  <c r="AX25" i="10"/>
  <c r="AY25" i="10"/>
  <c r="AZ25" i="10"/>
  <c r="BA25" i="10"/>
  <c r="BB25" i="10"/>
  <c r="BC25" i="10"/>
  <c r="BD25" i="10"/>
  <c r="BE25" i="10"/>
  <c r="BF25" i="10"/>
  <c r="BG25" i="10"/>
  <c r="BH25" i="10"/>
  <c r="BI25" i="10"/>
  <c r="BJ25" i="10"/>
  <c r="BK25" i="10"/>
  <c r="BL25" i="10"/>
  <c r="BM25" i="10"/>
  <c r="BN25" i="10"/>
  <c r="BO25" i="10"/>
  <c r="BP25" i="10"/>
  <c r="BQ25" i="10"/>
  <c r="BR25" i="10"/>
  <c r="BS25" i="10"/>
  <c r="BT25" i="10"/>
  <c r="BU25" i="10"/>
  <c r="BV25" i="10"/>
  <c r="BW25" i="10"/>
  <c r="BX25" i="10"/>
  <c r="BY25" i="10"/>
  <c r="BZ25" i="10"/>
  <c r="CA25" i="10"/>
  <c r="CB25" i="10"/>
  <c r="CC25" i="10"/>
  <c r="CD25" i="10"/>
  <c r="CE25" i="10"/>
  <c r="CF25" i="10"/>
  <c r="CG25" i="10"/>
  <c r="CH25" i="10"/>
  <c r="CI25" i="10"/>
  <c r="CJ25" i="10"/>
  <c r="CK25" i="10"/>
  <c r="CL25" i="10"/>
  <c r="CM25" i="10"/>
  <c r="CN25" i="10"/>
  <c r="CO25" i="10"/>
  <c r="CP25" i="10"/>
  <c r="CQ25" i="10"/>
  <c r="CR25" i="10"/>
  <c r="CS25" i="10"/>
  <c r="CT25" i="10"/>
  <c r="CU25" i="10"/>
  <c r="CV25" i="10"/>
  <c r="CW25" i="10"/>
  <c r="CX25" i="10"/>
  <c r="CY25" i="10"/>
  <c r="CZ25" i="10"/>
  <c r="DA25" i="10"/>
  <c r="DB25" i="10"/>
  <c r="DC25" i="10"/>
  <c r="DD25" i="10"/>
  <c r="DE25" i="10"/>
  <c r="DF25" i="10"/>
  <c r="DG25" i="10"/>
  <c r="DH25" i="10"/>
  <c r="DI25" i="10"/>
  <c r="DJ25" i="10"/>
  <c r="DK25" i="10"/>
  <c r="DL25" i="10"/>
  <c r="DM25" i="10"/>
  <c r="DN25" i="10"/>
  <c r="DO25" i="10"/>
  <c r="DP25" i="10"/>
  <c r="DQ25" i="10"/>
  <c r="DR25" i="10"/>
  <c r="DS25" i="10"/>
  <c r="DT25" i="10"/>
  <c r="DU25" i="10"/>
  <c r="DV25" i="10"/>
  <c r="DW25" i="10"/>
  <c r="DX25" i="10"/>
  <c r="DY25" i="10"/>
  <c r="DZ25" i="10"/>
  <c r="EA25" i="10"/>
  <c r="EB25" i="10"/>
  <c r="EC25" i="10"/>
  <c r="ED25" i="10"/>
  <c r="EE25" i="10"/>
  <c r="EF25" i="10"/>
  <c r="EG25" i="10"/>
  <c r="EH25" i="10"/>
  <c r="EI25" i="10"/>
  <c r="EJ25" i="10"/>
  <c r="EK25" i="10"/>
  <c r="EL25" i="10"/>
  <c r="EM25" i="10"/>
  <c r="EN25" i="10"/>
  <c r="EO25" i="10"/>
  <c r="EP25" i="10"/>
  <c r="EQ25" i="10"/>
  <c r="ER25" i="10"/>
  <c r="ES25" i="10"/>
  <c r="ET25" i="10"/>
  <c r="EU25" i="10"/>
  <c r="EV25" i="10"/>
  <c r="EW25" i="10"/>
  <c r="EX25" i="10"/>
  <c r="EY25" i="10"/>
  <c r="EZ25" i="10"/>
  <c r="FA25" i="10"/>
  <c r="FB25" i="10"/>
  <c r="FC25" i="10"/>
  <c r="FD25" i="10"/>
  <c r="FE25" i="10"/>
  <c r="FF25" i="10"/>
  <c r="FG25" i="10"/>
  <c r="FH25" i="10"/>
  <c r="FI25" i="10"/>
  <c r="FJ25" i="10"/>
  <c r="FK25" i="10"/>
  <c r="FL25" i="10"/>
  <c r="FM25" i="10"/>
  <c r="FN25" i="10"/>
  <c r="FO25" i="10"/>
  <c r="FP25" i="10"/>
  <c r="FQ25" i="10"/>
  <c r="FR25" i="10"/>
  <c r="FS25" i="10"/>
  <c r="FT25" i="10"/>
  <c r="FU25" i="10"/>
  <c r="FV25" i="10"/>
  <c r="FW25" i="10"/>
  <c r="FX25" i="10"/>
  <c r="FY25" i="10"/>
  <c r="FZ25" i="10"/>
  <c r="GA25" i="10"/>
  <c r="GB25" i="10"/>
  <c r="GC25" i="10"/>
  <c r="GD25" i="10"/>
  <c r="GE25" i="10"/>
  <c r="GF25" i="10"/>
  <c r="GG25" i="10"/>
  <c r="GH25" i="10"/>
  <c r="GI25" i="10"/>
  <c r="GJ25" i="10"/>
  <c r="GK25" i="10"/>
  <c r="GL25" i="10"/>
  <c r="GM25" i="10"/>
  <c r="GN25" i="10"/>
  <c r="GO25" i="10"/>
  <c r="GP25" i="10"/>
  <c r="GQ25" i="10"/>
  <c r="GR25" i="10"/>
  <c r="GS25" i="10"/>
  <c r="GT25" i="10"/>
  <c r="GU25" i="10"/>
  <c r="GV25" i="10"/>
  <c r="GW25" i="10"/>
  <c r="GX25" i="10"/>
  <c r="GY25" i="10"/>
  <c r="GZ25" i="10"/>
  <c r="HA25" i="10"/>
  <c r="HB25" i="10"/>
  <c r="HC25" i="10"/>
  <c r="HD25" i="10"/>
  <c r="HE25" i="10"/>
  <c r="HF25" i="10"/>
  <c r="HG25" i="10"/>
  <c r="HH25" i="10"/>
  <c r="HI25" i="10"/>
  <c r="HJ25" i="10"/>
  <c r="HK25" i="10"/>
  <c r="HL25" i="10"/>
  <c r="HM25" i="10"/>
  <c r="HN25" i="10"/>
  <c r="HO25" i="10"/>
  <c r="HP25" i="10"/>
  <c r="HQ25" i="10"/>
  <c r="HR25" i="10"/>
  <c r="HS25" i="10"/>
  <c r="HT25" i="10"/>
  <c r="HU25" i="10"/>
  <c r="HV25" i="10"/>
  <c r="HW25" i="10"/>
  <c r="HX25" i="10"/>
  <c r="HY25" i="10"/>
  <c r="HZ25" i="10"/>
  <c r="IA25" i="10"/>
  <c r="IB25" i="10"/>
  <c r="IC25" i="10"/>
  <c r="ID25" i="10"/>
  <c r="IE25" i="10"/>
  <c r="IF25" i="10"/>
  <c r="IG25" i="10"/>
  <c r="IH25" i="10"/>
  <c r="II25" i="10"/>
  <c r="IJ25" i="10"/>
  <c r="IK25" i="10"/>
  <c r="IL25" i="10"/>
  <c r="IM25" i="10"/>
  <c r="IN25" i="10"/>
  <c r="IO25" i="10"/>
  <c r="IP25" i="10"/>
  <c r="IQ25" i="10"/>
  <c r="IR25" i="10"/>
  <c r="IS25" i="10"/>
  <c r="IT25" i="10"/>
  <c r="IU25" i="10"/>
  <c r="IV25" i="10"/>
  <c r="A24" i="10"/>
  <c r="B24" i="10"/>
  <c r="C24" i="10"/>
  <c r="D24" i="10"/>
  <c r="E24" i="10"/>
  <c r="F24" i="10"/>
  <c r="G24" i="10"/>
  <c r="H24" i="10"/>
  <c r="I24" i="10"/>
  <c r="J24" i="10"/>
  <c r="K24" i="10"/>
  <c r="L24" i="10"/>
  <c r="M24" i="10"/>
  <c r="N24" i="10"/>
  <c r="O24" i="10"/>
  <c r="P24" i="10"/>
  <c r="Q24" i="10"/>
  <c r="R24" i="10"/>
  <c r="S24" i="10"/>
  <c r="T24" i="10"/>
  <c r="U24" i="10"/>
  <c r="V24" i="10"/>
  <c r="W24" i="10"/>
  <c r="X24" i="10"/>
  <c r="Y24" i="10"/>
  <c r="Z24" i="10"/>
  <c r="AA24" i="10"/>
  <c r="AB24" i="10"/>
  <c r="AC24" i="10"/>
  <c r="AD24" i="10"/>
  <c r="AE24" i="10"/>
  <c r="AF24" i="10"/>
  <c r="AG24" i="10"/>
  <c r="AH24" i="10"/>
  <c r="AI24" i="10"/>
  <c r="AJ24" i="10"/>
  <c r="AK24" i="10"/>
  <c r="AL24" i="10"/>
  <c r="AM24" i="10"/>
  <c r="AN24" i="10"/>
  <c r="AO24" i="10"/>
  <c r="AP24" i="10"/>
  <c r="AQ24" i="10"/>
  <c r="AR24" i="10"/>
  <c r="AS24" i="10"/>
  <c r="AT24" i="10"/>
  <c r="AU24" i="10"/>
  <c r="AV24" i="10"/>
  <c r="AW24" i="10"/>
  <c r="AX24" i="10"/>
  <c r="AY24" i="10"/>
  <c r="AZ24" i="10"/>
  <c r="BA24" i="10"/>
  <c r="BB24" i="10"/>
  <c r="BC24" i="10"/>
  <c r="BD24" i="10"/>
  <c r="BE24" i="10"/>
  <c r="BF24" i="10"/>
  <c r="BG24" i="10"/>
  <c r="BH24" i="10"/>
  <c r="BI24" i="10"/>
  <c r="BJ24" i="10"/>
  <c r="BK24" i="10"/>
  <c r="BL24" i="10"/>
  <c r="BM24" i="10"/>
  <c r="BN24" i="10"/>
  <c r="BO24" i="10"/>
  <c r="BP24" i="10"/>
  <c r="BQ24" i="10"/>
  <c r="BR24" i="10"/>
  <c r="BS24" i="10"/>
  <c r="BT24" i="10"/>
  <c r="BU24" i="10"/>
  <c r="BV24" i="10"/>
  <c r="BW24" i="10"/>
  <c r="BX24" i="10"/>
  <c r="BY24" i="10"/>
  <c r="BZ24" i="10"/>
  <c r="CA24" i="10"/>
  <c r="CB24" i="10"/>
  <c r="CC24" i="10"/>
  <c r="CD24" i="10"/>
  <c r="CE24" i="10"/>
  <c r="CF24" i="10"/>
  <c r="CG24" i="10"/>
  <c r="CH24" i="10"/>
  <c r="CI24" i="10"/>
  <c r="CJ24" i="10"/>
  <c r="CK24" i="10"/>
  <c r="CL24" i="10"/>
  <c r="CM24" i="10"/>
  <c r="CN24" i="10"/>
  <c r="CO24" i="10"/>
  <c r="CP24" i="10"/>
  <c r="CQ24" i="10"/>
  <c r="CR24" i="10"/>
  <c r="CS24" i="10"/>
  <c r="CT24" i="10"/>
  <c r="CU24" i="10"/>
  <c r="CV24" i="10"/>
  <c r="CW24" i="10"/>
  <c r="CX24" i="10"/>
  <c r="CY24" i="10"/>
  <c r="CZ24" i="10"/>
  <c r="DA24" i="10"/>
  <c r="DB24" i="10"/>
  <c r="DC24" i="10"/>
  <c r="DD24" i="10"/>
  <c r="DE24" i="10"/>
  <c r="DF24" i="10"/>
  <c r="DG24" i="10"/>
  <c r="DH24" i="10"/>
  <c r="DI24" i="10"/>
  <c r="DJ24" i="10"/>
  <c r="DK24" i="10"/>
  <c r="DL24" i="10"/>
  <c r="DM24" i="10"/>
  <c r="DN24" i="10"/>
  <c r="DO24" i="10"/>
  <c r="DP24" i="10"/>
  <c r="DQ24" i="10"/>
  <c r="DR24" i="10"/>
  <c r="DS24" i="10"/>
  <c r="DT24" i="10"/>
  <c r="DU24" i="10"/>
  <c r="DV24" i="10"/>
  <c r="DW24" i="10"/>
  <c r="DX24" i="10"/>
  <c r="DY24" i="10"/>
  <c r="DZ24" i="10"/>
  <c r="EA24" i="10"/>
  <c r="EB24" i="10"/>
  <c r="EC24" i="10"/>
  <c r="ED24" i="10"/>
  <c r="EE24" i="10"/>
  <c r="EF24" i="10"/>
  <c r="EG24" i="10"/>
  <c r="EH24" i="10"/>
  <c r="EI24" i="10"/>
  <c r="EJ24" i="10"/>
  <c r="EK24" i="10"/>
  <c r="EL24" i="10"/>
  <c r="EM24" i="10"/>
  <c r="EN24" i="10"/>
  <c r="EO24" i="10"/>
  <c r="EP24" i="10"/>
  <c r="EQ24" i="10"/>
  <c r="ER24" i="10"/>
  <c r="ES24" i="10"/>
  <c r="ET24" i="10"/>
  <c r="EU24" i="10"/>
  <c r="EV24" i="10"/>
  <c r="EW24" i="10"/>
  <c r="EX24" i="10"/>
  <c r="EY24" i="10"/>
  <c r="EZ24" i="10"/>
  <c r="FA24" i="10"/>
  <c r="FB24" i="10"/>
  <c r="FC24" i="10"/>
  <c r="FD24" i="10"/>
  <c r="FE24" i="10"/>
  <c r="FF24" i="10"/>
  <c r="FG24" i="10"/>
  <c r="FH24" i="10"/>
  <c r="FI24" i="10"/>
  <c r="FJ24" i="10"/>
  <c r="FK24" i="10"/>
  <c r="FL24" i="10"/>
  <c r="FM24" i="10"/>
  <c r="FN24" i="10"/>
  <c r="FO24" i="10"/>
  <c r="FP24" i="10"/>
  <c r="FQ24" i="10"/>
  <c r="FR24" i="10"/>
  <c r="FS24" i="10"/>
  <c r="FT24" i="10"/>
  <c r="FU24" i="10"/>
  <c r="FV24" i="10"/>
  <c r="FW24" i="10"/>
  <c r="FX24" i="10"/>
  <c r="FY24" i="10"/>
  <c r="FZ24" i="10"/>
  <c r="GA24" i="10"/>
  <c r="GB24" i="10"/>
  <c r="GC24" i="10"/>
  <c r="GD24" i="10"/>
  <c r="GE24" i="10"/>
  <c r="GF24" i="10"/>
  <c r="GG24" i="10"/>
  <c r="GH24" i="10"/>
  <c r="GI24" i="10"/>
  <c r="GJ24" i="10"/>
  <c r="GK24" i="10"/>
  <c r="GL24" i="10"/>
  <c r="GM24" i="10"/>
  <c r="GN24" i="10"/>
  <c r="GO24" i="10"/>
  <c r="GP24" i="10"/>
  <c r="GQ24" i="10"/>
  <c r="GR24" i="10"/>
  <c r="GS24" i="10"/>
  <c r="GT24" i="10"/>
  <c r="GU24" i="10"/>
  <c r="GV24" i="10"/>
  <c r="GW24" i="10"/>
  <c r="GX24" i="10"/>
  <c r="GY24" i="10"/>
  <c r="GZ24" i="10"/>
  <c r="HA24" i="10"/>
  <c r="HB24" i="10"/>
  <c r="HC24" i="10"/>
  <c r="HD24" i="10"/>
  <c r="HE24" i="10"/>
  <c r="HF24" i="10"/>
  <c r="HG24" i="10"/>
  <c r="HH24" i="10"/>
  <c r="HI24" i="10"/>
  <c r="HJ24" i="10"/>
  <c r="HK24" i="10"/>
  <c r="HL24" i="10"/>
  <c r="HM24" i="10"/>
  <c r="HN24" i="10"/>
  <c r="HO24" i="10"/>
  <c r="HP24" i="10"/>
  <c r="HQ24" i="10"/>
  <c r="HR24" i="10"/>
  <c r="HS24" i="10"/>
  <c r="HT24" i="10"/>
  <c r="HU24" i="10"/>
  <c r="HV24" i="10"/>
  <c r="HW24" i="10"/>
  <c r="HX24" i="10"/>
  <c r="HY24" i="10"/>
  <c r="HZ24" i="10"/>
  <c r="IA24" i="10"/>
  <c r="IB24" i="10"/>
  <c r="IC24" i="10"/>
  <c r="ID24" i="10"/>
  <c r="IE24" i="10"/>
  <c r="IF24" i="10"/>
  <c r="IG24" i="10"/>
  <c r="IH24" i="10"/>
  <c r="II24" i="10"/>
  <c r="IJ24" i="10"/>
  <c r="IK24" i="10"/>
  <c r="IL24" i="10"/>
  <c r="IM24" i="10"/>
  <c r="IN24" i="10"/>
  <c r="IO24" i="10"/>
  <c r="IP24" i="10"/>
  <c r="IQ24" i="10"/>
  <c r="IR24" i="10"/>
  <c r="IS24" i="10"/>
  <c r="IT24" i="10"/>
  <c r="IU24" i="10"/>
  <c r="IV24" i="10"/>
  <c r="A23" i="10"/>
  <c r="B23" i="10"/>
  <c r="C23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Y23" i="10"/>
  <c r="Z23" i="10"/>
  <c r="AA23" i="10"/>
  <c r="AB23" i="10"/>
  <c r="AC23" i="10"/>
  <c r="AD23" i="10"/>
  <c r="AE23" i="10"/>
  <c r="AF23" i="10"/>
  <c r="AG23" i="10"/>
  <c r="AH23" i="10"/>
  <c r="AI23" i="10"/>
  <c r="AJ23" i="10"/>
  <c r="AK23" i="10"/>
  <c r="AL23" i="10"/>
  <c r="AM23" i="10"/>
  <c r="AN23" i="10"/>
  <c r="AO23" i="10"/>
  <c r="AP23" i="10"/>
  <c r="AQ23" i="10"/>
  <c r="AR23" i="10"/>
  <c r="AS23" i="10"/>
  <c r="AT23" i="10"/>
  <c r="AU23" i="10"/>
  <c r="AV23" i="10"/>
  <c r="AW23" i="10"/>
  <c r="AX23" i="10"/>
  <c r="AY23" i="10"/>
  <c r="AZ23" i="10"/>
  <c r="BA23" i="10"/>
  <c r="BB23" i="10"/>
  <c r="BC23" i="10"/>
  <c r="BD23" i="10"/>
  <c r="BE23" i="10"/>
  <c r="BF23" i="10"/>
  <c r="BG23" i="10"/>
  <c r="BH23" i="10"/>
  <c r="BI23" i="10"/>
  <c r="BJ23" i="10"/>
  <c r="BK23" i="10"/>
  <c r="BL23" i="10"/>
  <c r="BM23" i="10"/>
  <c r="BN23" i="10"/>
  <c r="BO23" i="10"/>
  <c r="BP23" i="10"/>
  <c r="BQ23" i="10"/>
  <c r="BR23" i="10"/>
  <c r="BS23" i="10"/>
  <c r="BT23" i="10"/>
  <c r="BU23" i="10"/>
  <c r="BV23" i="10"/>
  <c r="BW23" i="10"/>
  <c r="BX23" i="10"/>
  <c r="BY23" i="10"/>
  <c r="BZ23" i="10"/>
  <c r="CA23" i="10"/>
  <c r="CB23" i="10"/>
  <c r="CC23" i="10"/>
  <c r="CD23" i="10"/>
  <c r="CE23" i="10"/>
  <c r="CF23" i="10"/>
  <c r="CG23" i="10"/>
  <c r="CH23" i="10"/>
  <c r="CI23" i="10"/>
  <c r="CJ23" i="10"/>
  <c r="CK23" i="10"/>
  <c r="CL23" i="10"/>
  <c r="CM23" i="10"/>
  <c r="CN23" i="10"/>
  <c r="CO23" i="10"/>
  <c r="CP23" i="10"/>
  <c r="CQ23" i="10"/>
  <c r="CR23" i="10"/>
  <c r="CS23" i="10"/>
  <c r="CT23" i="10"/>
  <c r="CU23" i="10"/>
  <c r="CV23" i="10"/>
  <c r="CW23" i="10"/>
  <c r="CX23" i="10"/>
  <c r="CY23" i="10"/>
  <c r="CZ23" i="10"/>
  <c r="DA23" i="10"/>
  <c r="DB23" i="10"/>
  <c r="DC23" i="10"/>
  <c r="DD23" i="10"/>
  <c r="DE23" i="10"/>
  <c r="DF23" i="10"/>
  <c r="DG23" i="10"/>
  <c r="DH23" i="10"/>
  <c r="DI23" i="10"/>
  <c r="DJ23" i="10"/>
  <c r="DK23" i="10"/>
  <c r="DL23" i="10"/>
  <c r="DM23" i="10"/>
  <c r="DN23" i="10"/>
  <c r="DO23" i="10"/>
  <c r="DP23" i="10"/>
  <c r="DQ23" i="10"/>
  <c r="DR23" i="10"/>
  <c r="DS23" i="10"/>
  <c r="DT23" i="10"/>
  <c r="DU23" i="10"/>
  <c r="DV23" i="10"/>
  <c r="DW23" i="10"/>
  <c r="DX23" i="10"/>
  <c r="DY23" i="10"/>
  <c r="DZ23" i="10"/>
  <c r="EA23" i="10"/>
  <c r="EB23" i="10"/>
  <c r="EC23" i="10"/>
  <c r="ED23" i="10"/>
  <c r="EE23" i="10"/>
  <c r="EF23" i="10"/>
  <c r="EG23" i="10"/>
  <c r="EH23" i="10"/>
  <c r="EI23" i="10"/>
  <c r="EJ23" i="10"/>
  <c r="EK23" i="10"/>
  <c r="EL23" i="10"/>
  <c r="EM23" i="10"/>
  <c r="EN23" i="10"/>
  <c r="EO23" i="10"/>
  <c r="EP23" i="10"/>
  <c r="EQ23" i="10"/>
  <c r="ER23" i="10"/>
  <c r="ES23" i="10"/>
  <c r="ET23" i="10"/>
  <c r="EU23" i="10"/>
  <c r="EV23" i="10"/>
  <c r="EW23" i="10"/>
  <c r="EX23" i="10"/>
  <c r="EY23" i="10"/>
  <c r="EZ23" i="10"/>
  <c r="FA23" i="10"/>
  <c r="FB23" i="10"/>
  <c r="FC23" i="10"/>
  <c r="FD23" i="10"/>
  <c r="FE23" i="10"/>
  <c r="FF23" i="10"/>
  <c r="FG23" i="10"/>
  <c r="FH23" i="10"/>
  <c r="FI23" i="10"/>
  <c r="FJ23" i="10"/>
  <c r="FK23" i="10"/>
  <c r="FL23" i="10"/>
  <c r="FM23" i="10"/>
  <c r="FN23" i="10"/>
  <c r="FO23" i="10"/>
  <c r="FP23" i="10"/>
  <c r="FQ23" i="10"/>
  <c r="FR23" i="10"/>
  <c r="FS23" i="10"/>
  <c r="FT23" i="10"/>
  <c r="FU23" i="10"/>
  <c r="FV23" i="10"/>
  <c r="FW23" i="10"/>
  <c r="FX23" i="10"/>
  <c r="FY23" i="10"/>
  <c r="FZ23" i="10"/>
  <c r="GA23" i="10"/>
  <c r="GB23" i="10"/>
  <c r="GC23" i="10"/>
  <c r="GD23" i="10"/>
  <c r="GE23" i="10"/>
  <c r="GF23" i="10"/>
  <c r="GG23" i="10"/>
  <c r="GH23" i="10"/>
  <c r="GI23" i="10"/>
  <c r="GJ23" i="10"/>
  <c r="GK23" i="10"/>
  <c r="GL23" i="10"/>
  <c r="GM23" i="10"/>
  <c r="GN23" i="10"/>
  <c r="GO23" i="10"/>
  <c r="GP23" i="10"/>
  <c r="GQ23" i="10"/>
  <c r="GR23" i="10"/>
  <c r="GS23" i="10"/>
  <c r="GT23" i="10"/>
  <c r="GU23" i="10"/>
  <c r="GV23" i="10"/>
  <c r="GW23" i="10"/>
  <c r="GX23" i="10"/>
  <c r="GY23" i="10"/>
  <c r="GZ23" i="10"/>
  <c r="HA23" i="10"/>
  <c r="HB23" i="10"/>
  <c r="HC23" i="10"/>
  <c r="HD23" i="10"/>
  <c r="HE23" i="10"/>
  <c r="HF23" i="10"/>
  <c r="HG23" i="10"/>
  <c r="HH23" i="10"/>
  <c r="HI23" i="10"/>
  <c r="HJ23" i="10"/>
  <c r="HK23" i="10"/>
  <c r="HL23" i="10"/>
  <c r="HM23" i="10"/>
  <c r="HN23" i="10"/>
  <c r="HO23" i="10"/>
  <c r="HP23" i="10"/>
  <c r="HQ23" i="10"/>
  <c r="HR23" i="10"/>
  <c r="HS23" i="10"/>
  <c r="HT23" i="10"/>
  <c r="HU23" i="10"/>
  <c r="HV23" i="10"/>
  <c r="HW23" i="10"/>
  <c r="HX23" i="10"/>
  <c r="HY23" i="10"/>
  <c r="HZ23" i="10"/>
  <c r="IA23" i="10"/>
  <c r="IB23" i="10"/>
  <c r="IC23" i="10"/>
  <c r="ID23" i="10"/>
  <c r="IE23" i="10"/>
  <c r="IF23" i="10"/>
  <c r="IG23" i="10"/>
  <c r="IH23" i="10"/>
  <c r="II23" i="10"/>
  <c r="IJ23" i="10"/>
  <c r="IK23" i="10"/>
  <c r="IL23" i="10"/>
  <c r="IM23" i="10"/>
  <c r="IN23" i="10"/>
  <c r="IO23" i="10"/>
  <c r="IP23" i="10"/>
  <c r="IQ23" i="10"/>
  <c r="IR23" i="10"/>
  <c r="IS23" i="10"/>
  <c r="IT23" i="10"/>
  <c r="IU23" i="10"/>
  <c r="IV23" i="10"/>
  <c r="A22" i="10"/>
  <c r="B22" i="10"/>
  <c r="C22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P22" i="10"/>
  <c r="Q22" i="10"/>
  <c r="R22" i="10"/>
  <c r="S22" i="10"/>
  <c r="T22" i="10"/>
  <c r="U22" i="10"/>
  <c r="V22" i="10"/>
  <c r="W22" i="10"/>
  <c r="X22" i="10"/>
  <c r="Y22" i="10"/>
  <c r="Z22" i="10"/>
  <c r="AA22" i="10"/>
  <c r="AB22" i="10"/>
  <c r="AC22" i="10"/>
  <c r="AD22" i="10"/>
  <c r="AE22" i="10"/>
  <c r="AF22" i="10"/>
  <c r="AG22" i="10"/>
  <c r="AH22" i="10"/>
  <c r="AI22" i="10"/>
  <c r="AJ22" i="10"/>
  <c r="AK22" i="10"/>
  <c r="AL22" i="10"/>
  <c r="AM22" i="10"/>
  <c r="AN22" i="10"/>
  <c r="AO22" i="10"/>
  <c r="AP22" i="10"/>
  <c r="AQ22" i="10"/>
  <c r="AR22" i="10"/>
  <c r="AS22" i="10"/>
  <c r="AT22" i="10"/>
  <c r="AU22" i="10"/>
  <c r="AV22" i="10"/>
  <c r="AW22" i="10"/>
  <c r="AX22" i="10"/>
  <c r="AY22" i="10"/>
  <c r="AZ22" i="10"/>
  <c r="BA22" i="10"/>
  <c r="BB22" i="10"/>
  <c r="BC22" i="10"/>
  <c r="BD22" i="10"/>
  <c r="BE22" i="10"/>
  <c r="BF22" i="10"/>
  <c r="BG22" i="10"/>
  <c r="BH22" i="10"/>
  <c r="BI22" i="10"/>
  <c r="BJ22" i="10"/>
  <c r="BK22" i="10"/>
  <c r="BL22" i="10"/>
  <c r="BM22" i="10"/>
  <c r="BN22" i="10"/>
  <c r="BO22" i="10"/>
  <c r="BP22" i="10"/>
  <c r="BQ22" i="10"/>
  <c r="BR22" i="10"/>
  <c r="BS22" i="10"/>
  <c r="BT22" i="10"/>
  <c r="BU22" i="10"/>
  <c r="BV22" i="10"/>
  <c r="BW22" i="10"/>
  <c r="BX22" i="10"/>
  <c r="BY22" i="10"/>
  <c r="BZ22" i="10"/>
  <c r="CA22" i="10"/>
  <c r="CB22" i="10"/>
  <c r="CC22" i="10"/>
  <c r="CD22" i="10"/>
  <c r="CE22" i="10"/>
  <c r="CF22" i="10"/>
  <c r="CG22" i="10"/>
  <c r="CH22" i="10"/>
  <c r="CI22" i="10"/>
  <c r="CJ22" i="10"/>
  <c r="CK22" i="10"/>
  <c r="CL22" i="10"/>
  <c r="CM22" i="10"/>
  <c r="CN22" i="10"/>
  <c r="CO22" i="10"/>
  <c r="CP22" i="10"/>
  <c r="CQ22" i="10"/>
  <c r="CR22" i="10"/>
  <c r="CS22" i="10"/>
  <c r="CT22" i="10"/>
  <c r="CU22" i="10"/>
  <c r="CV22" i="10"/>
  <c r="CW22" i="10"/>
  <c r="CX22" i="10"/>
  <c r="CY22" i="10"/>
  <c r="CZ22" i="10"/>
  <c r="DA22" i="10"/>
  <c r="DB22" i="10"/>
  <c r="DC22" i="10"/>
  <c r="DD22" i="10"/>
  <c r="DE22" i="10"/>
  <c r="DF22" i="10"/>
  <c r="DG22" i="10"/>
  <c r="DH22" i="10"/>
  <c r="DI22" i="10"/>
  <c r="DJ22" i="10"/>
  <c r="DK22" i="10"/>
  <c r="DL22" i="10"/>
  <c r="DM22" i="10"/>
  <c r="DN22" i="10"/>
  <c r="DO22" i="10"/>
  <c r="DP22" i="10"/>
  <c r="DQ22" i="10"/>
  <c r="DR22" i="10"/>
  <c r="DS22" i="10"/>
  <c r="DT22" i="10"/>
  <c r="DU22" i="10"/>
  <c r="DV22" i="10"/>
  <c r="DW22" i="10"/>
  <c r="DX22" i="10"/>
  <c r="DY22" i="10"/>
  <c r="DZ22" i="10"/>
  <c r="EA22" i="10"/>
  <c r="EB22" i="10"/>
  <c r="EC22" i="10"/>
  <c r="ED22" i="10"/>
  <c r="EE22" i="10"/>
  <c r="EF22" i="10"/>
  <c r="EG22" i="10"/>
  <c r="EH22" i="10"/>
  <c r="EI22" i="10"/>
  <c r="EJ22" i="10"/>
  <c r="EK22" i="10"/>
  <c r="EL22" i="10"/>
  <c r="EM22" i="10"/>
  <c r="EN22" i="10"/>
  <c r="EO22" i="10"/>
  <c r="EP22" i="10"/>
  <c r="EQ22" i="10"/>
  <c r="ER22" i="10"/>
  <c r="ES22" i="10"/>
  <c r="ET22" i="10"/>
  <c r="EU22" i="10"/>
  <c r="EV22" i="10"/>
  <c r="EW22" i="10"/>
  <c r="EX22" i="10"/>
  <c r="EY22" i="10"/>
  <c r="EZ22" i="10"/>
  <c r="FA22" i="10"/>
  <c r="FB22" i="10"/>
  <c r="FC22" i="10"/>
  <c r="FD22" i="10"/>
  <c r="FE22" i="10"/>
  <c r="FF22" i="10"/>
  <c r="FG22" i="10"/>
  <c r="FH22" i="10"/>
  <c r="FI22" i="10"/>
  <c r="FJ22" i="10"/>
  <c r="FK22" i="10"/>
  <c r="FL22" i="10"/>
  <c r="FM22" i="10"/>
  <c r="FN22" i="10"/>
  <c r="FO22" i="10"/>
  <c r="FP22" i="10"/>
  <c r="FQ22" i="10"/>
  <c r="FR22" i="10"/>
  <c r="FS22" i="10"/>
  <c r="FT22" i="10"/>
  <c r="FU22" i="10"/>
  <c r="FV22" i="10"/>
  <c r="FW22" i="10"/>
  <c r="FX22" i="10"/>
  <c r="FY22" i="10"/>
  <c r="FZ22" i="10"/>
  <c r="GA22" i="10"/>
  <c r="GB22" i="10"/>
  <c r="GC22" i="10"/>
  <c r="GD22" i="10"/>
  <c r="GE22" i="10"/>
  <c r="GF22" i="10"/>
  <c r="GG22" i="10"/>
  <c r="GH22" i="10"/>
  <c r="GI22" i="10"/>
  <c r="GJ22" i="10"/>
  <c r="GK22" i="10"/>
  <c r="GL22" i="10"/>
  <c r="GM22" i="10"/>
  <c r="GN22" i="10"/>
  <c r="GO22" i="10"/>
  <c r="GP22" i="10"/>
  <c r="GQ22" i="10"/>
  <c r="GR22" i="10"/>
  <c r="GS22" i="10"/>
  <c r="GT22" i="10"/>
  <c r="GU22" i="10"/>
  <c r="GV22" i="10"/>
  <c r="GW22" i="10"/>
  <c r="GX22" i="10"/>
  <c r="GY22" i="10"/>
  <c r="GZ22" i="10"/>
  <c r="HA22" i="10"/>
  <c r="HB22" i="10"/>
  <c r="HC22" i="10"/>
  <c r="HD22" i="10"/>
  <c r="HE22" i="10"/>
  <c r="HF22" i="10"/>
  <c r="HG22" i="10"/>
  <c r="HH22" i="10"/>
  <c r="HI22" i="10"/>
  <c r="HJ22" i="10"/>
  <c r="HK22" i="10"/>
  <c r="HL22" i="10"/>
  <c r="HM22" i="10"/>
  <c r="HN22" i="10"/>
  <c r="HO22" i="10"/>
  <c r="HP22" i="10"/>
  <c r="HQ22" i="10"/>
  <c r="HR22" i="10"/>
  <c r="HS22" i="10"/>
  <c r="HT22" i="10"/>
  <c r="HU22" i="10"/>
  <c r="HV22" i="10"/>
  <c r="HW22" i="10"/>
  <c r="HX22" i="10"/>
  <c r="HY22" i="10"/>
  <c r="HZ22" i="10"/>
  <c r="IA22" i="10"/>
  <c r="IB22" i="10"/>
  <c r="IC22" i="10"/>
  <c r="ID22" i="10"/>
  <c r="IE22" i="10"/>
  <c r="IF22" i="10"/>
  <c r="IG22" i="10"/>
  <c r="IH22" i="10"/>
  <c r="II22" i="10"/>
  <c r="IJ22" i="10"/>
  <c r="IK22" i="10"/>
  <c r="IL22" i="10"/>
  <c r="IM22" i="10"/>
  <c r="IN22" i="10"/>
  <c r="IO22" i="10"/>
  <c r="IP22" i="10"/>
  <c r="IQ22" i="10"/>
  <c r="IR22" i="10"/>
  <c r="IS22" i="10"/>
  <c r="IT22" i="10"/>
  <c r="IU22" i="10"/>
  <c r="IV22" i="10"/>
  <c r="A21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Y21" i="10"/>
  <c r="Z21" i="10"/>
  <c r="AA21" i="10"/>
  <c r="AB21" i="10"/>
  <c r="AC21" i="10"/>
  <c r="AD21" i="10"/>
  <c r="AE21" i="10"/>
  <c r="AF21" i="10"/>
  <c r="AG21" i="10"/>
  <c r="AH21" i="10"/>
  <c r="AI21" i="10"/>
  <c r="AJ21" i="10"/>
  <c r="AK21" i="10"/>
  <c r="AL21" i="10"/>
  <c r="AM21" i="10"/>
  <c r="AN21" i="10"/>
  <c r="AO21" i="10"/>
  <c r="AP21" i="10"/>
  <c r="AQ21" i="10"/>
  <c r="AR21" i="10"/>
  <c r="AS21" i="10"/>
  <c r="AT21" i="10"/>
  <c r="AU21" i="10"/>
  <c r="AV21" i="10"/>
  <c r="AW21" i="10"/>
  <c r="AX21" i="10"/>
  <c r="AY21" i="10"/>
  <c r="AZ21" i="10"/>
  <c r="BA21" i="10"/>
  <c r="BB21" i="10"/>
  <c r="BC21" i="10"/>
  <c r="BD21" i="10"/>
  <c r="BE21" i="10"/>
  <c r="BF21" i="10"/>
  <c r="BG21" i="10"/>
  <c r="BH21" i="10"/>
  <c r="BI21" i="10"/>
  <c r="BJ21" i="10"/>
  <c r="BK21" i="10"/>
  <c r="BL21" i="10"/>
  <c r="BM21" i="10"/>
  <c r="BN21" i="10"/>
  <c r="BO21" i="10"/>
  <c r="BP21" i="10"/>
  <c r="BQ21" i="10"/>
  <c r="BR21" i="10"/>
  <c r="BS21" i="10"/>
  <c r="BT21" i="10"/>
  <c r="BU21" i="10"/>
  <c r="BV21" i="10"/>
  <c r="BW21" i="10"/>
  <c r="BX21" i="10"/>
  <c r="BY21" i="10"/>
  <c r="BZ21" i="10"/>
  <c r="CA21" i="10"/>
  <c r="CB21" i="10"/>
  <c r="CC21" i="10"/>
  <c r="CD21" i="10"/>
  <c r="CE21" i="10"/>
  <c r="CF21" i="10"/>
  <c r="CG21" i="10"/>
  <c r="CH21" i="10"/>
  <c r="CI21" i="10"/>
  <c r="CJ21" i="10"/>
  <c r="CK21" i="10"/>
  <c r="CL21" i="10"/>
  <c r="CM21" i="10"/>
  <c r="CN21" i="10"/>
  <c r="CO21" i="10"/>
  <c r="CP21" i="10"/>
  <c r="CQ21" i="10"/>
  <c r="CR21" i="10"/>
  <c r="CS21" i="10"/>
  <c r="CT21" i="10"/>
  <c r="CU21" i="10"/>
  <c r="CV21" i="10"/>
  <c r="CW21" i="10"/>
  <c r="CX21" i="10"/>
  <c r="CY21" i="10"/>
  <c r="CZ21" i="10"/>
  <c r="DA21" i="10"/>
  <c r="DB21" i="10"/>
  <c r="DC21" i="10"/>
  <c r="DD21" i="10"/>
  <c r="DE21" i="10"/>
  <c r="DF21" i="10"/>
  <c r="DG21" i="10"/>
  <c r="DH21" i="10"/>
  <c r="DI21" i="10"/>
  <c r="DJ21" i="10"/>
  <c r="DK21" i="10"/>
  <c r="DL21" i="10"/>
  <c r="DM21" i="10"/>
  <c r="DN21" i="10"/>
  <c r="DO21" i="10"/>
  <c r="DP21" i="10"/>
  <c r="DQ21" i="10"/>
  <c r="DR21" i="10"/>
  <c r="DS21" i="10"/>
  <c r="DT21" i="10"/>
  <c r="DU21" i="10"/>
  <c r="DV21" i="10"/>
  <c r="DW21" i="10"/>
  <c r="DX21" i="10"/>
  <c r="DY21" i="10"/>
  <c r="DZ21" i="10"/>
  <c r="EA21" i="10"/>
  <c r="EB21" i="10"/>
  <c r="EC21" i="10"/>
  <c r="ED21" i="10"/>
  <c r="EE21" i="10"/>
  <c r="EF21" i="10"/>
  <c r="EG21" i="10"/>
  <c r="EH21" i="10"/>
  <c r="EI21" i="10"/>
  <c r="EJ21" i="10"/>
  <c r="EK21" i="10"/>
  <c r="EL21" i="10"/>
  <c r="EM21" i="10"/>
  <c r="EN21" i="10"/>
  <c r="EO21" i="10"/>
  <c r="EP21" i="10"/>
  <c r="EQ21" i="10"/>
  <c r="ER21" i="10"/>
  <c r="ES21" i="10"/>
  <c r="ET21" i="10"/>
  <c r="EU21" i="10"/>
  <c r="EV21" i="10"/>
  <c r="EW21" i="10"/>
  <c r="EX21" i="10"/>
  <c r="EY21" i="10"/>
  <c r="EZ21" i="10"/>
  <c r="FA21" i="10"/>
  <c r="FB21" i="10"/>
  <c r="FC21" i="10"/>
  <c r="FD21" i="10"/>
  <c r="FE21" i="10"/>
  <c r="FF21" i="10"/>
  <c r="FG21" i="10"/>
  <c r="FH21" i="10"/>
  <c r="FI21" i="10"/>
  <c r="FJ21" i="10"/>
  <c r="FK21" i="10"/>
  <c r="FL21" i="10"/>
  <c r="FM21" i="10"/>
  <c r="FN21" i="10"/>
  <c r="FO21" i="10"/>
  <c r="FP21" i="10"/>
  <c r="FQ21" i="10"/>
  <c r="FR21" i="10"/>
  <c r="FS21" i="10"/>
  <c r="FT21" i="10"/>
  <c r="FU21" i="10"/>
  <c r="FV21" i="10"/>
  <c r="FW21" i="10"/>
  <c r="FX21" i="10"/>
  <c r="FY21" i="10"/>
  <c r="FZ21" i="10"/>
  <c r="GA21" i="10"/>
  <c r="GB21" i="10"/>
  <c r="GC21" i="10"/>
  <c r="GD21" i="10"/>
  <c r="GE21" i="10"/>
  <c r="GF21" i="10"/>
  <c r="GG21" i="10"/>
  <c r="GH21" i="10"/>
  <c r="GI21" i="10"/>
  <c r="GJ21" i="10"/>
  <c r="GK21" i="10"/>
  <c r="GL21" i="10"/>
  <c r="GM21" i="10"/>
  <c r="GN21" i="10"/>
  <c r="GO21" i="10"/>
  <c r="GP21" i="10"/>
  <c r="GQ21" i="10"/>
  <c r="GR21" i="10"/>
  <c r="GS21" i="10"/>
  <c r="GT21" i="10"/>
  <c r="GU21" i="10"/>
  <c r="GV21" i="10"/>
  <c r="GW21" i="10"/>
  <c r="GX21" i="10"/>
  <c r="GY21" i="10"/>
  <c r="GZ21" i="10"/>
  <c r="HA21" i="10"/>
  <c r="HB21" i="10"/>
  <c r="HC21" i="10"/>
  <c r="HD21" i="10"/>
  <c r="HE21" i="10"/>
  <c r="HF21" i="10"/>
  <c r="HG21" i="10"/>
  <c r="HH21" i="10"/>
  <c r="HI21" i="10"/>
  <c r="HJ21" i="10"/>
  <c r="HK21" i="10"/>
  <c r="HL21" i="10"/>
  <c r="HM21" i="10"/>
  <c r="HN21" i="10"/>
  <c r="HO21" i="10"/>
  <c r="HP21" i="10"/>
  <c r="HQ21" i="10"/>
  <c r="HR21" i="10"/>
  <c r="HS21" i="10"/>
  <c r="HT21" i="10"/>
  <c r="HU21" i="10"/>
  <c r="HV21" i="10"/>
  <c r="HW21" i="10"/>
  <c r="HX21" i="10"/>
  <c r="HY21" i="10"/>
  <c r="HZ21" i="10"/>
  <c r="IA21" i="10"/>
  <c r="IB21" i="10"/>
  <c r="IC21" i="10"/>
  <c r="ID21" i="10"/>
  <c r="IE21" i="10"/>
  <c r="IF21" i="10"/>
  <c r="IG21" i="10"/>
  <c r="IH21" i="10"/>
  <c r="II21" i="10"/>
  <c r="IJ21" i="10"/>
  <c r="IK21" i="10"/>
  <c r="IL21" i="10"/>
  <c r="IM21" i="10"/>
  <c r="IN21" i="10"/>
  <c r="IO21" i="10"/>
  <c r="IP21" i="10"/>
  <c r="IQ21" i="10"/>
  <c r="IR21" i="10"/>
  <c r="IS21" i="10"/>
  <c r="IT21" i="10"/>
  <c r="IU21" i="10"/>
  <c r="IV21" i="10"/>
  <c r="A20" i="10"/>
  <c r="B20" i="10"/>
  <c r="C20" i="10"/>
  <c r="D20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V20" i="10"/>
  <c r="W20" i="10"/>
  <c r="X20" i="10"/>
  <c r="Y20" i="10"/>
  <c r="Z20" i="10"/>
  <c r="AA20" i="10"/>
  <c r="AB20" i="10"/>
  <c r="AC20" i="10"/>
  <c r="AD20" i="10"/>
  <c r="AE20" i="10"/>
  <c r="AF20" i="10"/>
  <c r="AG20" i="10"/>
  <c r="AH20" i="10"/>
  <c r="AI20" i="10"/>
  <c r="AJ20" i="10"/>
  <c r="AK20" i="10"/>
  <c r="AL20" i="10"/>
  <c r="AM20" i="10"/>
  <c r="AN20" i="10"/>
  <c r="AO20" i="10"/>
  <c r="AP20" i="10"/>
  <c r="AQ20" i="10"/>
  <c r="AR20" i="10"/>
  <c r="AS20" i="10"/>
  <c r="AT20" i="10"/>
  <c r="AU20" i="10"/>
  <c r="AV20" i="10"/>
  <c r="AW20" i="10"/>
  <c r="AX20" i="10"/>
  <c r="AY20" i="10"/>
  <c r="AZ20" i="10"/>
  <c r="BA20" i="10"/>
  <c r="BB20" i="10"/>
  <c r="BC20" i="10"/>
  <c r="BD20" i="10"/>
  <c r="BE20" i="10"/>
  <c r="BF20" i="10"/>
  <c r="BG20" i="10"/>
  <c r="BH20" i="10"/>
  <c r="BI20" i="10"/>
  <c r="BJ20" i="10"/>
  <c r="BK20" i="10"/>
  <c r="BL20" i="10"/>
  <c r="BM20" i="10"/>
  <c r="BN20" i="10"/>
  <c r="BO20" i="10"/>
  <c r="BP20" i="10"/>
  <c r="BQ20" i="10"/>
  <c r="BR20" i="10"/>
  <c r="BS20" i="10"/>
  <c r="BT20" i="10"/>
  <c r="BU20" i="10"/>
  <c r="BV20" i="10"/>
  <c r="BW20" i="10"/>
  <c r="BX20" i="10"/>
  <c r="BY20" i="10"/>
  <c r="BZ20" i="10"/>
  <c r="CA20" i="10"/>
  <c r="CB20" i="10"/>
  <c r="CC20" i="10"/>
  <c r="CD20" i="10"/>
  <c r="CE20" i="10"/>
  <c r="CF20" i="10"/>
  <c r="CG20" i="10"/>
  <c r="CH20" i="10"/>
  <c r="CI20" i="10"/>
  <c r="CJ20" i="10"/>
  <c r="CK20" i="10"/>
  <c r="CL20" i="10"/>
  <c r="CM20" i="10"/>
  <c r="CN20" i="10"/>
  <c r="CO20" i="10"/>
  <c r="CP20" i="10"/>
  <c r="CQ20" i="10"/>
  <c r="CR20" i="10"/>
  <c r="CS20" i="10"/>
  <c r="CT20" i="10"/>
  <c r="CU20" i="10"/>
  <c r="CV20" i="10"/>
  <c r="CW20" i="10"/>
  <c r="CX20" i="10"/>
  <c r="CY20" i="10"/>
  <c r="CZ20" i="10"/>
  <c r="DA20" i="10"/>
  <c r="DB20" i="10"/>
  <c r="DC20" i="10"/>
  <c r="DD20" i="10"/>
  <c r="DE20" i="10"/>
  <c r="DF20" i="10"/>
  <c r="DG20" i="10"/>
  <c r="DH20" i="10"/>
  <c r="DI20" i="10"/>
  <c r="DJ20" i="10"/>
  <c r="DK20" i="10"/>
  <c r="DL20" i="10"/>
  <c r="DM20" i="10"/>
  <c r="DN20" i="10"/>
  <c r="DO20" i="10"/>
  <c r="DP20" i="10"/>
  <c r="DQ20" i="10"/>
  <c r="DR20" i="10"/>
  <c r="DS20" i="10"/>
  <c r="DT20" i="10"/>
  <c r="DU20" i="10"/>
  <c r="DV20" i="10"/>
  <c r="DW20" i="10"/>
  <c r="DX20" i="10"/>
  <c r="DY20" i="10"/>
  <c r="DZ20" i="10"/>
  <c r="EA20" i="10"/>
  <c r="EB20" i="10"/>
  <c r="EC20" i="10"/>
  <c r="ED20" i="10"/>
  <c r="EE20" i="10"/>
  <c r="EF20" i="10"/>
  <c r="EG20" i="10"/>
  <c r="EH20" i="10"/>
  <c r="EI20" i="10"/>
  <c r="EJ20" i="10"/>
  <c r="EK20" i="10"/>
  <c r="EL20" i="10"/>
  <c r="EM20" i="10"/>
  <c r="EN20" i="10"/>
  <c r="EO20" i="10"/>
  <c r="EP20" i="10"/>
  <c r="EQ20" i="10"/>
  <c r="ER20" i="10"/>
  <c r="ES20" i="10"/>
  <c r="ET20" i="10"/>
  <c r="EU20" i="10"/>
  <c r="EV20" i="10"/>
  <c r="EW20" i="10"/>
  <c r="EX20" i="10"/>
  <c r="EY20" i="10"/>
  <c r="EZ20" i="10"/>
  <c r="FA20" i="10"/>
  <c r="FB20" i="10"/>
  <c r="FC20" i="10"/>
  <c r="FD20" i="10"/>
  <c r="FE20" i="10"/>
  <c r="FF20" i="10"/>
  <c r="FG20" i="10"/>
  <c r="FH20" i="10"/>
  <c r="FI20" i="10"/>
  <c r="FJ20" i="10"/>
  <c r="FK20" i="10"/>
  <c r="FL20" i="10"/>
  <c r="FM20" i="10"/>
  <c r="FN20" i="10"/>
  <c r="FO20" i="10"/>
  <c r="FP20" i="10"/>
  <c r="FQ20" i="10"/>
  <c r="FR20" i="10"/>
  <c r="FS20" i="10"/>
  <c r="FT20" i="10"/>
  <c r="FU20" i="10"/>
  <c r="FV20" i="10"/>
  <c r="FW20" i="10"/>
  <c r="FX20" i="10"/>
  <c r="FY20" i="10"/>
  <c r="FZ20" i="10"/>
  <c r="GA20" i="10"/>
  <c r="GB20" i="10"/>
  <c r="GC20" i="10"/>
  <c r="GD20" i="10"/>
  <c r="GE20" i="10"/>
  <c r="GF20" i="10"/>
  <c r="GG20" i="10"/>
  <c r="GH20" i="10"/>
  <c r="GI20" i="10"/>
  <c r="GJ20" i="10"/>
  <c r="GK20" i="10"/>
  <c r="GL20" i="10"/>
  <c r="GM20" i="10"/>
  <c r="GN20" i="10"/>
  <c r="GO20" i="10"/>
  <c r="GP20" i="10"/>
  <c r="GQ20" i="10"/>
  <c r="GR20" i="10"/>
  <c r="GS20" i="10"/>
  <c r="GT20" i="10"/>
  <c r="GU20" i="10"/>
  <c r="GV20" i="10"/>
  <c r="GW20" i="10"/>
  <c r="GX20" i="10"/>
  <c r="GY20" i="10"/>
  <c r="GZ20" i="10"/>
  <c r="HA20" i="10"/>
  <c r="HB20" i="10"/>
  <c r="HC20" i="10"/>
  <c r="HD20" i="10"/>
  <c r="HE20" i="10"/>
  <c r="HF20" i="10"/>
  <c r="HG20" i="10"/>
  <c r="HH20" i="10"/>
  <c r="HI20" i="10"/>
  <c r="HJ20" i="10"/>
  <c r="HK20" i="10"/>
  <c r="HL20" i="10"/>
  <c r="HM20" i="10"/>
  <c r="HN20" i="10"/>
  <c r="HO20" i="10"/>
  <c r="HP20" i="10"/>
  <c r="HQ20" i="10"/>
  <c r="HR20" i="10"/>
  <c r="HS20" i="10"/>
  <c r="HT20" i="10"/>
  <c r="HU20" i="10"/>
  <c r="HV20" i="10"/>
  <c r="HW20" i="10"/>
  <c r="HX20" i="10"/>
  <c r="HY20" i="10"/>
  <c r="HZ20" i="10"/>
  <c r="IA20" i="10"/>
  <c r="IB20" i="10"/>
  <c r="IC20" i="10"/>
  <c r="ID20" i="10"/>
  <c r="IE20" i="10"/>
  <c r="IF20" i="10"/>
  <c r="IG20" i="10"/>
  <c r="IH20" i="10"/>
  <c r="II20" i="10"/>
  <c r="IJ20" i="10"/>
  <c r="IK20" i="10"/>
  <c r="IL20" i="10"/>
  <c r="IM20" i="10"/>
  <c r="IN20" i="10"/>
  <c r="IO20" i="10"/>
  <c r="IP20" i="10"/>
  <c r="IQ20" i="10"/>
  <c r="IR20" i="10"/>
  <c r="IS20" i="10"/>
  <c r="IT20" i="10"/>
  <c r="IU20" i="10"/>
  <c r="IV20" i="10"/>
  <c r="A19" i="10"/>
  <c r="B19" i="10"/>
  <c r="C19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Z19" i="10"/>
  <c r="AA19" i="10"/>
  <c r="AB19" i="10"/>
  <c r="AC19" i="10"/>
  <c r="AD19" i="10"/>
  <c r="AE19" i="10"/>
  <c r="AF19" i="10"/>
  <c r="AG19" i="10"/>
  <c r="AH19" i="10"/>
  <c r="AI19" i="10"/>
  <c r="AJ19" i="10"/>
  <c r="AK19" i="10"/>
  <c r="AL19" i="10"/>
  <c r="AM19" i="10"/>
  <c r="AN19" i="10"/>
  <c r="AO19" i="10"/>
  <c r="AP19" i="10"/>
  <c r="AQ19" i="10"/>
  <c r="AR19" i="10"/>
  <c r="AS19" i="10"/>
  <c r="AT19" i="10"/>
  <c r="AU19" i="10"/>
  <c r="AV19" i="10"/>
  <c r="AW19" i="10"/>
  <c r="AX19" i="10"/>
  <c r="AY19" i="10"/>
  <c r="AZ19" i="10"/>
  <c r="BA19" i="10"/>
  <c r="BB19" i="10"/>
  <c r="BC19" i="10"/>
  <c r="BD19" i="10"/>
  <c r="BE19" i="10"/>
  <c r="BF19" i="10"/>
  <c r="BG19" i="10"/>
  <c r="BH19" i="10"/>
  <c r="BI19" i="10"/>
  <c r="BJ19" i="10"/>
  <c r="BK19" i="10"/>
  <c r="BL19" i="10"/>
  <c r="BM19" i="10"/>
  <c r="BN19" i="10"/>
  <c r="BO19" i="10"/>
  <c r="BP19" i="10"/>
  <c r="BQ19" i="10"/>
  <c r="BR19" i="10"/>
  <c r="BS19" i="10"/>
  <c r="BT19" i="10"/>
  <c r="BU19" i="10"/>
  <c r="BV19" i="10"/>
  <c r="BW19" i="10"/>
  <c r="BX19" i="10"/>
  <c r="BY19" i="10"/>
  <c r="BZ19" i="10"/>
  <c r="CA19" i="10"/>
  <c r="CB19" i="10"/>
  <c r="CC19" i="10"/>
  <c r="CD19" i="10"/>
  <c r="CE19" i="10"/>
  <c r="CF19" i="10"/>
  <c r="CG19" i="10"/>
  <c r="CH19" i="10"/>
  <c r="CI19" i="10"/>
  <c r="CJ19" i="10"/>
  <c r="CK19" i="10"/>
  <c r="CL19" i="10"/>
  <c r="CM19" i="10"/>
  <c r="CN19" i="10"/>
  <c r="CO19" i="10"/>
  <c r="CP19" i="10"/>
  <c r="CQ19" i="10"/>
  <c r="CR19" i="10"/>
  <c r="CS19" i="10"/>
  <c r="CT19" i="10"/>
  <c r="CU19" i="10"/>
  <c r="CV19" i="10"/>
  <c r="CW19" i="10"/>
  <c r="CX19" i="10"/>
  <c r="CY19" i="10"/>
  <c r="CZ19" i="10"/>
  <c r="DA19" i="10"/>
  <c r="DB19" i="10"/>
  <c r="DC19" i="10"/>
  <c r="DD19" i="10"/>
  <c r="DE19" i="10"/>
  <c r="DF19" i="10"/>
  <c r="DG19" i="10"/>
  <c r="DH19" i="10"/>
  <c r="DI19" i="10"/>
  <c r="DJ19" i="10"/>
  <c r="DK19" i="10"/>
  <c r="DL19" i="10"/>
  <c r="DM19" i="10"/>
  <c r="DN19" i="10"/>
  <c r="DO19" i="10"/>
  <c r="DP19" i="10"/>
  <c r="DQ19" i="10"/>
  <c r="DR19" i="10"/>
  <c r="DS19" i="10"/>
  <c r="DT19" i="10"/>
  <c r="DU19" i="10"/>
  <c r="DV19" i="10"/>
  <c r="DW19" i="10"/>
  <c r="DX19" i="10"/>
  <c r="DY19" i="10"/>
  <c r="DZ19" i="10"/>
  <c r="EA19" i="10"/>
  <c r="EB19" i="10"/>
  <c r="EC19" i="10"/>
  <c r="ED19" i="10"/>
  <c r="EE19" i="10"/>
  <c r="EF19" i="10"/>
  <c r="EG19" i="10"/>
  <c r="EH19" i="10"/>
  <c r="EI19" i="10"/>
  <c r="EJ19" i="10"/>
  <c r="EK19" i="10"/>
  <c r="EL19" i="10"/>
  <c r="EM19" i="10"/>
  <c r="EN19" i="10"/>
  <c r="EO19" i="10"/>
  <c r="EP19" i="10"/>
  <c r="EQ19" i="10"/>
  <c r="ER19" i="10"/>
  <c r="ES19" i="10"/>
  <c r="ET19" i="10"/>
  <c r="EU19" i="10"/>
  <c r="EV19" i="10"/>
  <c r="EW19" i="10"/>
  <c r="EX19" i="10"/>
  <c r="EY19" i="10"/>
  <c r="EZ19" i="10"/>
  <c r="FA19" i="10"/>
  <c r="FB19" i="10"/>
  <c r="FC19" i="10"/>
  <c r="FD19" i="10"/>
  <c r="FE19" i="10"/>
  <c r="FF19" i="10"/>
  <c r="FG19" i="10"/>
  <c r="FH19" i="10"/>
  <c r="FI19" i="10"/>
  <c r="FJ19" i="10"/>
  <c r="FK19" i="10"/>
  <c r="FL19" i="10"/>
  <c r="FM19" i="10"/>
  <c r="FN19" i="10"/>
  <c r="FO19" i="10"/>
  <c r="FP19" i="10"/>
  <c r="FQ19" i="10"/>
  <c r="FR19" i="10"/>
  <c r="FS19" i="10"/>
  <c r="FT19" i="10"/>
  <c r="FU19" i="10"/>
  <c r="FV19" i="10"/>
  <c r="FW19" i="10"/>
  <c r="FX19" i="10"/>
  <c r="FY19" i="10"/>
  <c r="FZ19" i="10"/>
  <c r="GA19" i="10"/>
  <c r="GB19" i="10"/>
  <c r="GC19" i="10"/>
  <c r="GD19" i="10"/>
  <c r="GE19" i="10"/>
  <c r="GF19" i="10"/>
  <c r="GG19" i="10"/>
  <c r="GH19" i="10"/>
  <c r="GI19" i="10"/>
  <c r="GJ19" i="10"/>
  <c r="GK19" i="10"/>
  <c r="GL19" i="10"/>
  <c r="GM19" i="10"/>
  <c r="GN19" i="10"/>
  <c r="GO19" i="10"/>
  <c r="GP19" i="10"/>
  <c r="GQ19" i="10"/>
  <c r="GR19" i="10"/>
  <c r="GS19" i="10"/>
  <c r="GT19" i="10"/>
  <c r="GU19" i="10"/>
  <c r="GV19" i="10"/>
  <c r="GW19" i="10"/>
  <c r="GX19" i="10"/>
  <c r="GY19" i="10"/>
  <c r="GZ19" i="10"/>
  <c r="HA19" i="10"/>
  <c r="HB19" i="10"/>
  <c r="HC19" i="10"/>
  <c r="HD19" i="10"/>
  <c r="HE19" i="10"/>
  <c r="HF19" i="10"/>
  <c r="HG19" i="10"/>
  <c r="HH19" i="10"/>
  <c r="HI19" i="10"/>
  <c r="HJ19" i="10"/>
  <c r="HK19" i="10"/>
  <c r="HL19" i="10"/>
  <c r="HM19" i="10"/>
  <c r="HN19" i="10"/>
  <c r="HO19" i="10"/>
  <c r="HP19" i="10"/>
  <c r="HQ19" i="10"/>
  <c r="HR19" i="10"/>
  <c r="HS19" i="10"/>
  <c r="HT19" i="10"/>
  <c r="HU19" i="10"/>
  <c r="HV19" i="10"/>
  <c r="HW19" i="10"/>
  <c r="HX19" i="10"/>
  <c r="HY19" i="10"/>
  <c r="HZ19" i="10"/>
  <c r="IA19" i="10"/>
  <c r="IB19" i="10"/>
  <c r="IC19" i="10"/>
  <c r="ID19" i="10"/>
  <c r="IE19" i="10"/>
  <c r="IF19" i="10"/>
  <c r="IG19" i="10"/>
  <c r="IH19" i="10"/>
  <c r="II19" i="10"/>
  <c r="IJ19" i="10"/>
  <c r="IK19" i="10"/>
  <c r="IL19" i="10"/>
  <c r="IM19" i="10"/>
  <c r="IN19" i="10"/>
  <c r="IO19" i="10"/>
  <c r="IP19" i="10"/>
  <c r="IQ19" i="10"/>
  <c r="IR19" i="10"/>
  <c r="IS19" i="10"/>
  <c r="IT19" i="10"/>
  <c r="IU19" i="10"/>
  <c r="IV19" i="10"/>
  <c r="A18" i="10"/>
  <c r="B18" i="10"/>
  <c r="C18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AA18" i="10"/>
  <c r="AB18" i="10"/>
  <c r="AC18" i="10"/>
  <c r="AD18" i="10"/>
  <c r="AE18" i="10"/>
  <c r="AF18" i="10"/>
  <c r="AG18" i="10"/>
  <c r="AH18" i="10"/>
  <c r="AI18" i="10"/>
  <c r="AJ18" i="10"/>
  <c r="AK18" i="10"/>
  <c r="AL18" i="10"/>
  <c r="AM18" i="10"/>
  <c r="AN18" i="10"/>
  <c r="AO18" i="10"/>
  <c r="AP18" i="10"/>
  <c r="AQ18" i="10"/>
  <c r="AR18" i="10"/>
  <c r="AS18" i="10"/>
  <c r="AT18" i="10"/>
  <c r="AU18" i="10"/>
  <c r="AV18" i="10"/>
  <c r="AW18" i="10"/>
  <c r="AX18" i="10"/>
  <c r="AY18" i="10"/>
  <c r="AZ18" i="10"/>
  <c r="BA18" i="10"/>
  <c r="BB18" i="10"/>
  <c r="BC18" i="10"/>
  <c r="BD18" i="10"/>
  <c r="BE18" i="10"/>
  <c r="BF18" i="10"/>
  <c r="BG18" i="10"/>
  <c r="BH18" i="10"/>
  <c r="BI18" i="10"/>
  <c r="BJ18" i="10"/>
  <c r="BK18" i="10"/>
  <c r="BL18" i="10"/>
  <c r="BM18" i="10"/>
  <c r="BN18" i="10"/>
  <c r="BO18" i="10"/>
  <c r="BP18" i="10"/>
  <c r="BQ18" i="10"/>
  <c r="BR18" i="10"/>
  <c r="BS18" i="10"/>
  <c r="BT18" i="10"/>
  <c r="BU18" i="10"/>
  <c r="BV18" i="10"/>
  <c r="BW18" i="10"/>
  <c r="BX18" i="10"/>
  <c r="BY18" i="10"/>
  <c r="BZ18" i="10"/>
  <c r="CA18" i="10"/>
  <c r="CB18" i="10"/>
  <c r="CC18" i="10"/>
  <c r="CD18" i="10"/>
  <c r="CE18" i="10"/>
  <c r="CF18" i="10"/>
  <c r="CG18" i="10"/>
  <c r="CH18" i="10"/>
  <c r="CI18" i="10"/>
  <c r="CJ18" i="10"/>
  <c r="CK18" i="10"/>
  <c r="CL18" i="10"/>
  <c r="CM18" i="10"/>
  <c r="CN18" i="10"/>
  <c r="CO18" i="10"/>
  <c r="CP18" i="10"/>
  <c r="CQ18" i="10"/>
  <c r="CR18" i="10"/>
  <c r="CS18" i="10"/>
  <c r="CT18" i="10"/>
  <c r="CU18" i="10"/>
  <c r="CV18" i="10"/>
  <c r="CW18" i="10"/>
  <c r="CX18" i="10"/>
  <c r="CY18" i="10"/>
  <c r="CZ18" i="10"/>
  <c r="DA18" i="10"/>
  <c r="DB18" i="10"/>
  <c r="DC18" i="10"/>
  <c r="DD18" i="10"/>
  <c r="DE18" i="10"/>
  <c r="DF18" i="10"/>
  <c r="DG18" i="10"/>
  <c r="DH18" i="10"/>
  <c r="DI18" i="10"/>
  <c r="DJ18" i="10"/>
  <c r="DK18" i="10"/>
  <c r="DL18" i="10"/>
  <c r="DM18" i="10"/>
  <c r="DN18" i="10"/>
  <c r="DO18" i="10"/>
  <c r="DP18" i="10"/>
  <c r="DQ18" i="10"/>
  <c r="DR18" i="10"/>
  <c r="DS18" i="10"/>
  <c r="DT18" i="10"/>
  <c r="DU18" i="10"/>
  <c r="DV18" i="10"/>
  <c r="DW18" i="10"/>
  <c r="DX18" i="10"/>
  <c r="DY18" i="10"/>
  <c r="DZ18" i="10"/>
  <c r="EA18" i="10"/>
  <c r="EB18" i="10"/>
  <c r="EC18" i="10"/>
  <c r="ED18" i="10"/>
  <c r="EE18" i="10"/>
  <c r="EF18" i="10"/>
  <c r="EG18" i="10"/>
  <c r="EH18" i="10"/>
  <c r="EI18" i="10"/>
  <c r="EJ18" i="10"/>
  <c r="EK18" i="10"/>
  <c r="EL18" i="10"/>
  <c r="EM18" i="10"/>
  <c r="EN18" i="10"/>
  <c r="EO18" i="10"/>
  <c r="EP18" i="10"/>
  <c r="EQ18" i="10"/>
  <c r="ER18" i="10"/>
  <c r="ES18" i="10"/>
  <c r="ET18" i="10"/>
  <c r="EU18" i="10"/>
  <c r="EV18" i="10"/>
  <c r="EW18" i="10"/>
  <c r="EX18" i="10"/>
  <c r="EY18" i="10"/>
  <c r="EZ18" i="10"/>
  <c r="FA18" i="10"/>
  <c r="FB18" i="10"/>
  <c r="FC18" i="10"/>
  <c r="FD18" i="10"/>
  <c r="FE18" i="10"/>
  <c r="FF18" i="10"/>
  <c r="FG18" i="10"/>
  <c r="FH18" i="10"/>
  <c r="FI18" i="10"/>
  <c r="FJ18" i="10"/>
  <c r="FK18" i="10"/>
  <c r="FL18" i="10"/>
  <c r="FM18" i="10"/>
  <c r="FN18" i="10"/>
  <c r="FO18" i="10"/>
  <c r="FP18" i="10"/>
  <c r="FQ18" i="10"/>
  <c r="FR18" i="10"/>
  <c r="FS18" i="10"/>
  <c r="FT18" i="10"/>
  <c r="FU18" i="10"/>
  <c r="FV18" i="10"/>
  <c r="FW18" i="10"/>
  <c r="FX18" i="10"/>
  <c r="FY18" i="10"/>
  <c r="FZ18" i="10"/>
  <c r="GA18" i="10"/>
  <c r="GB18" i="10"/>
  <c r="GC18" i="10"/>
  <c r="GD18" i="10"/>
  <c r="GE18" i="10"/>
  <c r="GF18" i="10"/>
  <c r="GG18" i="10"/>
  <c r="GH18" i="10"/>
  <c r="GI18" i="10"/>
  <c r="GJ18" i="10"/>
  <c r="GK18" i="10"/>
  <c r="GL18" i="10"/>
  <c r="GM18" i="10"/>
  <c r="GN18" i="10"/>
  <c r="GO18" i="10"/>
  <c r="GP18" i="10"/>
  <c r="GQ18" i="10"/>
  <c r="GR18" i="10"/>
  <c r="GS18" i="10"/>
  <c r="GT18" i="10"/>
  <c r="GU18" i="10"/>
  <c r="GV18" i="10"/>
  <c r="GW18" i="10"/>
  <c r="GX18" i="10"/>
  <c r="GY18" i="10"/>
  <c r="GZ18" i="10"/>
  <c r="HA18" i="10"/>
  <c r="HB18" i="10"/>
  <c r="HC18" i="10"/>
  <c r="HD18" i="10"/>
  <c r="HE18" i="10"/>
  <c r="HF18" i="10"/>
  <c r="HG18" i="10"/>
  <c r="HH18" i="10"/>
  <c r="HI18" i="10"/>
  <c r="HJ18" i="10"/>
  <c r="HK18" i="10"/>
  <c r="HL18" i="10"/>
  <c r="HM18" i="10"/>
  <c r="HN18" i="10"/>
  <c r="HO18" i="10"/>
  <c r="HP18" i="10"/>
  <c r="HQ18" i="10"/>
  <c r="HR18" i="10"/>
  <c r="HS18" i="10"/>
  <c r="HT18" i="10"/>
  <c r="HU18" i="10"/>
  <c r="HV18" i="10"/>
  <c r="HW18" i="10"/>
  <c r="HX18" i="10"/>
  <c r="HY18" i="10"/>
  <c r="HZ18" i="10"/>
  <c r="IA18" i="10"/>
  <c r="IB18" i="10"/>
  <c r="IC18" i="10"/>
  <c r="ID18" i="10"/>
  <c r="IE18" i="10"/>
  <c r="IF18" i="10"/>
  <c r="IG18" i="10"/>
  <c r="IH18" i="10"/>
  <c r="II18" i="10"/>
  <c r="IJ18" i="10"/>
  <c r="IK18" i="10"/>
  <c r="IL18" i="10"/>
  <c r="IM18" i="10"/>
  <c r="IN18" i="10"/>
  <c r="IO18" i="10"/>
  <c r="IP18" i="10"/>
  <c r="IQ18" i="10"/>
  <c r="IR18" i="10"/>
  <c r="IS18" i="10"/>
  <c r="IT18" i="10"/>
  <c r="IU18" i="10"/>
  <c r="IV18" i="10"/>
  <c r="A17" i="10"/>
  <c r="B17" i="10"/>
  <c r="C17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R17" i="10"/>
  <c r="S17" i="10"/>
  <c r="T17" i="10"/>
  <c r="U17" i="10"/>
  <c r="V17" i="10"/>
  <c r="W17" i="10"/>
  <c r="X17" i="10"/>
  <c r="Y17" i="10"/>
  <c r="Z17" i="10"/>
  <c r="AA17" i="10"/>
  <c r="AB17" i="10"/>
  <c r="AC17" i="10"/>
  <c r="AD17" i="10"/>
  <c r="AE17" i="10"/>
  <c r="AF17" i="10"/>
  <c r="AG17" i="10"/>
  <c r="AH17" i="10"/>
  <c r="AI17" i="10"/>
  <c r="AJ17" i="10"/>
  <c r="AK17" i="10"/>
  <c r="AL17" i="10"/>
  <c r="AM17" i="10"/>
  <c r="AN17" i="10"/>
  <c r="AO17" i="10"/>
  <c r="AP17" i="10"/>
  <c r="AQ17" i="10"/>
  <c r="AR17" i="10"/>
  <c r="AS17" i="10"/>
  <c r="AT17" i="10"/>
  <c r="AU17" i="10"/>
  <c r="AV17" i="10"/>
  <c r="AW17" i="10"/>
  <c r="AX17" i="10"/>
  <c r="AY17" i="10"/>
  <c r="AZ17" i="10"/>
  <c r="BA17" i="10"/>
  <c r="BB17" i="10"/>
  <c r="BC17" i="10"/>
  <c r="BD17" i="10"/>
  <c r="BE17" i="10"/>
  <c r="BF17" i="10"/>
  <c r="BG17" i="10"/>
  <c r="BH17" i="10"/>
  <c r="BI17" i="10"/>
  <c r="BJ17" i="10"/>
  <c r="BK17" i="10"/>
  <c r="BL17" i="10"/>
  <c r="BM17" i="10"/>
  <c r="BN17" i="10"/>
  <c r="BO17" i="10"/>
  <c r="BP17" i="10"/>
  <c r="BQ17" i="10"/>
  <c r="BR17" i="10"/>
  <c r="BS17" i="10"/>
  <c r="BT17" i="10"/>
  <c r="BU17" i="10"/>
  <c r="BV17" i="10"/>
  <c r="BW17" i="10"/>
  <c r="BX17" i="10"/>
  <c r="BY17" i="10"/>
  <c r="BZ17" i="10"/>
  <c r="CA17" i="10"/>
  <c r="CB17" i="10"/>
  <c r="CC17" i="10"/>
  <c r="CD17" i="10"/>
  <c r="CE17" i="10"/>
  <c r="CF17" i="10"/>
  <c r="CG17" i="10"/>
  <c r="CH17" i="10"/>
  <c r="CI17" i="10"/>
  <c r="CJ17" i="10"/>
  <c r="CK17" i="10"/>
  <c r="CL17" i="10"/>
  <c r="CM17" i="10"/>
  <c r="CN17" i="10"/>
  <c r="CO17" i="10"/>
  <c r="CP17" i="10"/>
  <c r="CQ17" i="10"/>
  <c r="CR17" i="10"/>
  <c r="CS17" i="10"/>
  <c r="CT17" i="10"/>
  <c r="CU17" i="10"/>
  <c r="CV17" i="10"/>
  <c r="CW17" i="10"/>
  <c r="CX17" i="10"/>
  <c r="CY17" i="10"/>
  <c r="CZ17" i="10"/>
  <c r="DA17" i="10"/>
  <c r="DB17" i="10"/>
  <c r="DC17" i="10"/>
  <c r="DD17" i="10"/>
  <c r="DE17" i="10"/>
  <c r="DF17" i="10"/>
  <c r="DG17" i="10"/>
  <c r="DH17" i="10"/>
  <c r="DI17" i="10"/>
  <c r="DJ17" i="10"/>
  <c r="DK17" i="10"/>
  <c r="DL17" i="10"/>
  <c r="DM17" i="10"/>
  <c r="DN17" i="10"/>
  <c r="DO17" i="10"/>
  <c r="DP17" i="10"/>
  <c r="DQ17" i="10"/>
  <c r="DR17" i="10"/>
  <c r="DS17" i="10"/>
  <c r="DT17" i="10"/>
  <c r="DU17" i="10"/>
  <c r="DV17" i="10"/>
  <c r="DW17" i="10"/>
  <c r="DX17" i="10"/>
  <c r="DY17" i="10"/>
  <c r="DZ17" i="10"/>
  <c r="EA17" i="10"/>
  <c r="EB17" i="10"/>
  <c r="EC17" i="10"/>
  <c r="ED17" i="10"/>
  <c r="EE17" i="10"/>
  <c r="EF17" i="10"/>
  <c r="EG17" i="10"/>
  <c r="EH17" i="10"/>
  <c r="EI17" i="10"/>
  <c r="EJ17" i="10"/>
  <c r="EK17" i="10"/>
  <c r="EL17" i="10"/>
  <c r="EM17" i="10"/>
  <c r="EN17" i="10"/>
  <c r="EO17" i="10"/>
  <c r="EP17" i="10"/>
  <c r="EQ17" i="10"/>
  <c r="ER17" i="10"/>
  <c r="ES17" i="10"/>
  <c r="ET17" i="10"/>
  <c r="EU17" i="10"/>
  <c r="EV17" i="10"/>
  <c r="EW17" i="10"/>
  <c r="EX17" i="10"/>
  <c r="EY17" i="10"/>
  <c r="EZ17" i="10"/>
  <c r="FA17" i="10"/>
  <c r="FB17" i="10"/>
  <c r="FC17" i="10"/>
  <c r="FD17" i="10"/>
  <c r="FE17" i="10"/>
  <c r="FF17" i="10"/>
  <c r="FG17" i="10"/>
  <c r="FH17" i="10"/>
  <c r="FI17" i="10"/>
  <c r="FJ17" i="10"/>
  <c r="FK17" i="10"/>
  <c r="FL17" i="10"/>
  <c r="FM17" i="10"/>
  <c r="FN17" i="10"/>
  <c r="FO17" i="10"/>
  <c r="FP17" i="10"/>
  <c r="FQ17" i="10"/>
  <c r="FR17" i="10"/>
  <c r="FS17" i="10"/>
  <c r="FT17" i="10"/>
  <c r="FU17" i="10"/>
  <c r="FV17" i="10"/>
  <c r="FW17" i="10"/>
  <c r="FX17" i="10"/>
  <c r="FY17" i="10"/>
  <c r="FZ17" i="10"/>
  <c r="GA17" i="10"/>
  <c r="GB17" i="10"/>
  <c r="GC17" i="10"/>
  <c r="GD17" i="10"/>
  <c r="GE17" i="10"/>
  <c r="GF17" i="10"/>
  <c r="GG17" i="10"/>
  <c r="GH17" i="10"/>
  <c r="GI17" i="10"/>
  <c r="GJ17" i="10"/>
  <c r="GK17" i="10"/>
  <c r="GL17" i="10"/>
  <c r="GM17" i="10"/>
  <c r="GN17" i="10"/>
  <c r="GO17" i="10"/>
  <c r="GP17" i="10"/>
  <c r="GQ17" i="10"/>
  <c r="GR17" i="10"/>
  <c r="GS17" i="10"/>
  <c r="GT17" i="10"/>
  <c r="GU17" i="10"/>
  <c r="GV17" i="10"/>
  <c r="GW17" i="10"/>
  <c r="GX17" i="10"/>
  <c r="GY17" i="10"/>
  <c r="GZ17" i="10"/>
  <c r="HA17" i="10"/>
  <c r="HB17" i="10"/>
  <c r="HC17" i="10"/>
  <c r="HD17" i="10"/>
  <c r="HE17" i="10"/>
  <c r="HF17" i="10"/>
  <c r="HG17" i="10"/>
  <c r="HH17" i="10"/>
  <c r="HI17" i="10"/>
  <c r="HJ17" i="10"/>
  <c r="HK17" i="10"/>
  <c r="HL17" i="10"/>
  <c r="HM17" i="10"/>
  <c r="HN17" i="10"/>
  <c r="HO17" i="10"/>
  <c r="HP17" i="10"/>
  <c r="HQ17" i="10"/>
  <c r="HR17" i="10"/>
  <c r="HS17" i="10"/>
  <c r="HT17" i="10"/>
  <c r="HU17" i="10"/>
  <c r="HV17" i="10"/>
  <c r="HW17" i="10"/>
  <c r="HX17" i="10"/>
  <c r="HY17" i="10"/>
  <c r="HZ17" i="10"/>
  <c r="IA17" i="10"/>
  <c r="IB17" i="10"/>
  <c r="IC17" i="10"/>
  <c r="ID17" i="10"/>
  <c r="IE17" i="10"/>
  <c r="IF17" i="10"/>
  <c r="IG17" i="10"/>
  <c r="IH17" i="10"/>
  <c r="II17" i="10"/>
  <c r="IJ17" i="10"/>
  <c r="IK17" i="10"/>
  <c r="IL17" i="10"/>
  <c r="IM17" i="10"/>
  <c r="IN17" i="10"/>
  <c r="IO17" i="10"/>
  <c r="IP17" i="10"/>
  <c r="IQ17" i="10"/>
  <c r="IR17" i="10"/>
  <c r="IS17" i="10"/>
  <c r="IT17" i="10"/>
  <c r="IU17" i="10"/>
  <c r="IV17" i="10"/>
  <c r="A16" i="10"/>
  <c r="B16" i="10"/>
  <c r="C16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S16" i="10"/>
  <c r="T16" i="10"/>
  <c r="U16" i="10"/>
  <c r="V16" i="10"/>
  <c r="W16" i="10"/>
  <c r="X16" i="10"/>
  <c r="Y16" i="10"/>
  <c r="Z16" i="10"/>
  <c r="AA16" i="10"/>
  <c r="AB16" i="10"/>
  <c r="AC16" i="10"/>
  <c r="AD16" i="10"/>
  <c r="AE16" i="10"/>
  <c r="AF16" i="10"/>
  <c r="AG16" i="10"/>
  <c r="AH16" i="10"/>
  <c r="AI16" i="10"/>
  <c r="AJ16" i="10"/>
  <c r="AK16" i="10"/>
  <c r="AL16" i="10"/>
  <c r="AM16" i="10"/>
  <c r="AN16" i="10"/>
  <c r="AO16" i="10"/>
  <c r="AP16" i="10"/>
  <c r="AQ16" i="10"/>
  <c r="AR16" i="10"/>
  <c r="AS16" i="10"/>
  <c r="AT16" i="10"/>
  <c r="AU16" i="10"/>
  <c r="AV16" i="10"/>
  <c r="AW16" i="10"/>
  <c r="AX16" i="10"/>
  <c r="AY16" i="10"/>
  <c r="AZ16" i="10"/>
  <c r="BA16" i="10"/>
  <c r="BB16" i="10"/>
  <c r="BC16" i="10"/>
  <c r="BD16" i="10"/>
  <c r="BE16" i="10"/>
  <c r="BF16" i="10"/>
  <c r="BG16" i="10"/>
  <c r="BH16" i="10"/>
  <c r="BI16" i="10"/>
  <c r="BJ16" i="10"/>
  <c r="BK16" i="10"/>
  <c r="BL16" i="10"/>
  <c r="BM16" i="10"/>
  <c r="BN16" i="10"/>
  <c r="BO16" i="10"/>
  <c r="BP16" i="10"/>
  <c r="BQ16" i="10"/>
  <c r="BR16" i="10"/>
  <c r="BS16" i="10"/>
  <c r="BT16" i="10"/>
  <c r="BU16" i="10"/>
  <c r="BV16" i="10"/>
  <c r="BW16" i="10"/>
  <c r="BX16" i="10"/>
  <c r="BY16" i="10"/>
  <c r="BZ16" i="10"/>
  <c r="CA16" i="10"/>
  <c r="CB16" i="10"/>
  <c r="CC16" i="10"/>
  <c r="CD16" i="10"/>
  <c r="CE16" i="10"/>
  <c r="CF16" i="10"/>
  <c r="CG16" i="10"/>
  <c r="CH16" i="10"/>
  <c r="CI16" i="10"/>
  <c r="CJ16" i="10"/>
  <c r="CK16" i="10"/>
  <c r="CL16" i="10"/>
  <c r="CM16" i="10"/>
  <c r="CN16" i="10"/>
  <c r="CO16" i="10"/>
  <c r="CP16" i="10"/>
  <c r="CQ16" i="10"/>
  <c r="CR16" i="10"/>
  <c r="CS16" i="10"/>
  <c r="CT16" i="10"/>
  <c r="CU16" i="10"/>
  <c r="CV16" i="10"/>
  <c r="CW16" i="10"/>
  <c r="CX16" i="10"/>
  <c r="CY16" i="10"/>
  <c r="CZ16" i="10"/>
  <c r="DA16" i="10"/>
  <c r="DB16" i="10"/>
  <c r="DC16" i="10"/>
  <c r="DD16" i="10"/>
  <c r="DE16" i="10"/>
  <c r="DF16" i="10"/>
  <c r="DG16" i="10"/>
  <c r="DH16" i="10"/>
  <c r="DI16" i="10"/>
  <c r="DJ16" i="10"/>
  <c r="DK16" i="10"/>
  <c r="DL16" i="10"/>
  <c r="DM16" i="10"/>
  <c r="DN16" i="10"/>
  <c r="DO16" i="10"/>
  <c r="DP16" i="10"/>
  <c r="DQ16" i="10"/>
  <c r="DR16" i="10"/>
  <c r="DS16" i="10"/>
  <c r="DT16" i="10"/>
  <c r="DU16" i="10"/>
  <c r="DV16" i="10"/>
  <c r="DW16" i="10"/>
  <c r="DX16" i="10"/>
  <c r="DY16" i="10"/>
  <c r="DZ16" i="10"/>
  <c r="EA16" i="10"/>
  <c r="EB16" i="10"/>
  <c r="EC16" i="10"/>
  <c r="ED16" i="10"/>
  <c r="EE16" i="10"/>
  <c r="EF16" i="10"/>
  <c r="EG16" i="10"/>
  <c r="EH16" i="10"/>
  <c r="EI16" i="10"/>
  <c r="EJ16" i="10"/>
  <c r="EK16" i="10"/>
  <c r="EL16" i="10"/>
  <c r="EM16" i="10"/>
  <c r="EN16" i="10"/>
  <c r="EO16" i="10"/>
  <c r="EP16" i="10"/>
  <c r="EQ16" i="10"/>
  <c r="ER16" i="10"/>
  <c r="ES16" i="10"/>
  <c r="ET16" i="10"/>
  <c r="EU16" i="10"/>
  <c r="EV16" i="10"/>
  <c r="EW16" i="10"/>
  <c r="EX16" i="10"/>
  <c r="EY16" i="10"/>
  <c r="EZ16" i="10"/>
  <c r="FA16" i="10"/>
  <c r="FB16" i="10"/>
  <c r="FC16" i="10"/>
  <c r="FD16" i="10"/>
  <c r="FE16" i="10"/>
  <c r="FF16" i="10"/>
  <c r="FG16" i="10"/>
  <c r="FH16" i="10"/>
  <c r="FI16" i="10"/>
  <c r="FJ16" i="10"/>
  <c r="FK16" i="10"/>
  <c r="FL16" i="10"/>
  <c r="FM16" i="10"/>
  <c r="FN16" i="10"/>
  <c r="FO16" i="10"/>
  <c r="FP16" i="10"/>
  <c r="FQ16" i="10"/>
  <c r="FR16" i="10"/>
  <c r="FS16" i="10"/>
  <c r="FT16" i="10"/>
  <c r="FU16" i="10"/>
  <c r="FV16" i="10"/>
  <c r="FW16" i="10"/>
  <c r="FX16" i="10"/>
  <c r="FY16" i="10"/>
  <c r="FZ16" i="10"/>
  <c r="GA16" i="10"/>
  <c r="GB16" i="10"/>
  <c r="GC16" i="10"/>
  <c r="GD16" i="10"/>
  <c r="GE16" i="10"/>
  <c r="GF16" i="10"/>
  <c r="GG16" i="10"/>
  <c r="GH16" i="10"/>
  <c r="GI16" i="10"/>
  <c r="GJ16" i="10"/>
  <c r="GK16" i="10"/>
  <c r="GL16" i="10"/>
  <c r="GM16" i="10"/>
  <c r="GN16" i="10"/>
  <c r="GO16" i="10"/>
  <c r="GP16" i="10"/>
  <c r="GQ16" i="10"/>
  <c r="GR16" i="10"/>
  <c r="GS16" i="10"/>
  <c r="GT16" i="10"/>
  <c r="GU16" i="10"/>
  <c r="GV16" i="10"/>
  <c r="GW16" i="10"/>
  <c r="GX16" i="10"/>
  <c r="GY16" i="10"/>
  <c r="GZ16" i="10"/>
  <c r="HA16" i="10"/>
  <c r="HB16" i="10"/>
  <c r="HC16" i="10"/>
  <c r="HD16" i="10"/>
  <c r="HE16" i="10"/>
  <c r="HF16" i="10"/>
  <c r="HG16" i="10"/>
  <c r="HH16" i="10"/>
  <c r="HI16" i="10"/>
  <c r="HJ16" i="10"/>
  <c r="HK16" i="10"/>
  <c r="HL16" i="10"/>
  <c r="HM16" i="10"/>
  <c r="HN16" i="10"/>
  <c r="HO16" i="10"/>
  <c r="HP16" i="10"/>
  <c r="HQ16" i="10"/>
  <c r="HR16" i="10"/>
  <c r="HS16" i="10"/>
  <c r="HT16" i="10"/>
  <c r="HU16" i="10"/>
  <c r="HV16" i="10"/>
  <c r="HW16" i="10"/>
  <c r="HX16" i="10"/>
  <c r="HY16" i="10"/>
  <c r="HZ16" i="10"/>
  <c r="IA16" i="10"/>
  <c r="IB16" i="10"/>
  <c r="IC16" i="10"/>
  <c r="ID16" i="10"/>
  <c r="IE16" i="10"/>
  <c r="IF16" i="10"/>
  <c r="IG16" i="10"/>
  <c r="IH16" i="10"/>
  <c r="II16" i="10"/>
  <c r="IJ16" i="10"/>
  <c r="IK16" i="10"/>
  <c r="IL16" i="10"/>
  <c r="IM16" i="10"/>
  <c r="IN16" i="10"/>
  <c r="IO16" i="10"/>
  <c r="IP16" i="10"/>
  <c r="IQ16" i="10"/>
  <c r="IR16" i="10"/>
  <c r="IS16" i="10"/>
  <c r="IT16" i="10"/>
  <c r="IU16" i="10"/>
  <c r="IV16" i="10"/>
  <c r="A15" i="10"/>
  <c r="B15" i="10"/>
  <c r="C15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R15" i="10"/>
  <c r="S15" i="10"/>
  <c r="T15" i="10"/>
  <c r="U15" i="10"/>
  <c r="V15" i="10"/>
  <c r="W15" i="10"/>
  <c r="X15" i="10"/>
  <c r="Y15" i="10"/>
  <c r="Z15" i="10"/>
  <c r="AA15" i="10"/>
  <c r="AB15" i="10"/>
  <c r="AC15" i="10"/>
  <c r="AD15" i="10"/>
  <c r="AE15" i="10"/>
  <c r="AF15" i="10"/>
  <c r="AG15" i="10"/>
  <c r="AH15" i="10"/>
  <c r="AI15" i="10"/>
  <c r="AJ15" i="10"/>
  <c r="AK15" i="10"/>
  <c r="AL15" i="10"/>
  <c r="AM15" i="10"/>
  <c r="AN15" i="10"/>
  <c r="AO15" i="10"/>
  <c r="AP15" i="10"/>
  <c r="AQ15" i="10"/>
  <c r="AR15" i="10"/>
  <c r="AS15" i="10"/>
  <c r="AT15" i="10"/>
  <c r="AU15" i="10"/>
  <c r="AV15" i="10"/>
  <c r="AW15" i="10"/>
  <c r="AX15" i="10"/>
  <c r="AY15" i="10"/>
  <c r="AZ15" i="10"/>
  <c r="BA15" i="10"/>
  <c r="BB15" i="10"/>
  <c r="BC15" i="10"/>
  <c r="BD15" i="10"/>
  <c r="BE15" i="10"/>
  <c r="BF15" i="10"/>
  <c r="BG15" i="10"/>
  <c r="BH15" i="10"/>
  <c r="BI15" i="10"/>
  <c r="BJ15" i="10"/>
  <c r="BK15" i="10"/>
  <c r="BL15" i="10"/>
  <c r="BM15" i="10"/>
  <c r="BN15" i="10"/>
  <c r="BO15" i="10"/>
  <c r="BP15" i="10"/>
  <c r="BQ15" i="10"/>
  <c r="BR15" i="10"/>
  <c r="BS15" i="10"/>
  <c r="BT15" i="10"/>
  <c r="BU15" i="10"/>
  <c r="BV15" i="10"/>
  <c r="BW15" i="10"/>
  <c r="BX15" i="10"/>
  <c r="BY15" i="10"/>
  <c r="BZ15" i="10"/>
  <c r="CA15" i="10"/>
  <c r="CB15" i="10"/>
  <c r="CC15" i="10"/>
  <c r="CD15" i="10"/>
  <c r="CE15" i="10"/>
  <c r="CF15" i="10"/>
  <c r="CG15" i="10"/>
  <c r="CH15" i="10"/>
  <c r="CI15" i="10"/>
  <c r="CJ15" i="10"/>
  <c r="CK15" i="10"/>
  <c r="CL15" i="10"/>
  <c r="CM15" i="10"/>
  <c r="CN15" i="10"/>
  <c r="CO15" i="10"/>
  <c r="CP15" i="10"/>
  <c r="CQ15" i="10"/>
  <c r="CR15" i="10"/>
  <c r="CS15" i="10"/>
  <c r="CT15" i="10"/>
  <c r="CU15" i="10"/>
  <c r="CV15" i="10"/>
  <c r="CW15" i="10"/>
  <c r="CX15" i="10"/>
  <c r="CY15" i="10"/>
  <c r="CZ15" i="10"/>
  <c r="DA15" i="10"/>
  <c r="DB15" i="10"/>
  <c r="DC15" i="10"/>
  <c r="DD15" i="10"/>
  <c r="DE15" i="10"/>
  <c r="DF15" i="10"/>
  <c r="DG15" i="10"/>
  <c r="DH15" i="10"/>
  <c r="DI15" i="10"/>
  <c r="DJ15" i="10"/>
  <c r="DK15" i="10"/>
  <c r="DL15" i="10"/>
  <c r="DM15" i="10"/>
  <c r="DN15" i="10"/>
  <c r="DO15" i="10"/>
  <c r="DP15" i="10"/>
  <c r="DQ15" i="10"/>
  <c r="DR15" i="10"/>
  <c r="DS15" i="10"/>
  <c r="DT15" i="10"/>
  <c r="DU15" i="10"/>
  <c r="DV15" i="10"/>
  <c r="DW15" i="10"/>
  <c r="DX15" i="10"/>
  <c r="DY15" i="10"/>
  <c r="DZ15" i="10"/>
  <c r="EA15" i="10"/>
  <c r="EB15" i="10"/>
  <c r="EC15" i="10"/>
  <c r="ED15" i="10"/>
  <c r="EE15" i="10"/>
  <c r="EF15" i="10"/>
  <c r="EG15" i="10"/>
  <c r="EH15" i="10"/>
  <c r="EI15" i="10"/>
  <c r="EJ15" i="10"/>
  <c r="EK15" i="10"/>
  <c r="EL15" i="10"/>
  <c r="EM15" i="10"/>
  <c r="EN15" i="10"/>
  <c r="EO15" i="10"/>
  <c r="EP15" i="10"/>
  <c r="EQ15" i="10"/>
  <c r="ER15" i="10"/>
  <c r="ES15" i="10"/>
  <c r="ET15" i="10"/>
  <c r="EU15" i="10"/>
  <c r="EV15" i="10"/>
  <c r="EW15" i="10"/>
  <c r="EX15" i="10"/>
  <c r="EY15" i="10"/>
  <c r="EZ15" i="10"/>
  <c r="FA15" i="10"/>
  <c r="FB15" i="10"/>
  <c r="FC15" i="10"/>
  <c r="FD15" i="10"/>
  <c r="FE15" i="10"/>
  <c r="FF15" i="10"/>
  <c r="FG15" i="10"/>
  <c r="FH15" i="10"/>
  <c r="FI15" i="10"/>
  <c r="FJ15" i="10"/>
  <c r="FK15" i="10"/>
  <c r="FL15" i="10"/>
  <c r="FM15" i="10"/>
  <c r="FN15" i="10"/>
  <c r="FO15" i="10"/>
  <c r="FP15" i="10"/>
  <c r="FQ15" i="10"/>
  <c r="FR15" i="10"/>
  <c r="FS15" i="10"/>
  <c r="FT15" i="10"/>
  <c r="FU15" i="10"/>
  <c r="FV15" i="10"/>
  <c r="FW15" i="10"/>
  <c r="FX15" i="10"/>
  <c r="FY15" i="10"/>
  <c r="FZ15" i="10"/>
  <c r="GA15" i="10"/>
  <c r="GB15" i="10"/>
  <c r="GC15" i="10"/>
  <c r="GD15" i="10"/>
  <c r="GE15" i="10"/>
  <c r="GF15" i="10"/>
  <c r="GG15" i="10"/>
  <c r="GH15" i="10"/>
  <c r="GI15" i="10"/>
  <c r="GJ15" i="10"/>
  <c r="GK15" i="10"/>
  <c r="GL15" i="10"/>
  <c r="GM15" i="10"/>
  <c r="GN15" i="10"/>
  <c r="GO15" i="10"/>
  <c r="GP15" i="10"/>
  <c r="GQ15" i="10"/>
  <c r="GR15" i="10"/>
  <c r="GS15" i="10"/>
  <c r="GT15" i="10"/>
  <c r="GU15" i="10"/>
  <c r="GV15" i="10"/>
  <c r="GW15" i="10"/>
  <c r="GX15" i="10"/>
  <c r="GY15" i="10"/>
  <c r="GZ15" i="10"/>
  <c r="HA15" i="10"/>
  <c r="HB15" i="10"/>
  <c r="HC15" i="10"/>
  <c r="HD15" i="10"/>
  <c r="HE15" i="10"/>
  <c r="HF15" i="10"/>
  <c r="HG15" i="10"/>
  <c r="HH15" i="10"/>
  <c r="HI15" i="10"/>
  <c r="HJ15" i="10"/>
  <c r="HK15" i="10"/>
  <c r="HL15" i="10"/>
  <c r="HM15" i="10"/>
  <c r="HN15" i="10"/>
  <c r="HO15" i="10"/>
  <c r="HP15" i="10"/>
  <c r="HQ15" i="10"/>
  <c r="HR15" i="10"/>
  <c r="HS15" i="10"/>
  <c r="HT15" i="10"/>
  <c r="HU15" i="10"/>
  <c r="HV15" i="10"/>
  <c r="HW15" i="10"/>
  <c r="HX15" i="10"/>
  <c r="HY15" i="10"/>
  <c r="HZ15" i="10"/>
  <c r="IA15" i="10"/>
  <c r="IB15" i="10"/>
  <c r="IC15" i="10"/>
  <c r="ID15" i="10"/>
  <c r="IE15" i="10"/>
  <c r="IF15" i="10"/>
  <c r="IG15" i="10"/>
  <c r="IH15" i="10"/>
  <c r="II15" i="10"/>
  <c r="IJ15" i="10"/>
  <c r="IK15" i="10"/>
  <c r="IL15" i="10"/>
  <c r="IM15" i="10"/>
  <c r="IN15" i="10"/>
  <c r="IO15" i="10"/>
  <c r="IP15" i="10"/>
  <c r="IQ15" i="10"/>
  <c r="IR15" i="10"/>
  <c r="IS15" i="10"/>
  <c r="IT15" i="10"/>
  <c r="IU15" i="10"/>
  <c r="IV15" i="10"/>
  <c r="A14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Y14" i="10"/>
  <c r="Z14" i="10"/>
  <c r="AA14" i="10"/>
  <c r="AB14" i="10"/>
  <c r="AC14" i="10"/>
  <c r="AD14" i="10"/>
  <c r="AE14" i="10"/>
  <c r="AF14" i="10"/>
  <c r="AG14" i="10"/>
  <c r="AH14" i="10"/>
  <c r="AI14" i="10"/>
  <c r="AJ14" i="10"/>
  <c r="AK14" i="10"/>
  <c r="AL14" i="10"/>
  <c r="AM14" i="10"/>
  <c r="AN14" i="10"/>
  <c r="AO14" i="10"/>
  <c r="AP14" i="10"/>
  <c r="AQ14" i="10"/>
  <c r="AR14" i="10"/>
  <c r="AS14" i="10"/>
  <c r="AT14" i="10"/>
  <c r="AU14" i="10"/>
  <c r="AV14" i="10"/>
  <c r="AW14" i="10"/>
  <c r="AX14" i="10"/>
  <c r="AY14" i="10"/>
  <c r="AZ14" i="10"/>
  <c r="BA14" i="10"/>
  <c r="BB14" i="10"/>
  <c r="BC14" i="10"/>
  <c r="BD14" i="10"/>
  <c r="BE14" i="10"/>
  <c r="BF14" i="10"/>
  <c r="BG14" i="10"/>
  <c r="BH14" i="10"/>
  <c r="BI14" i="10"/>
  <c r="BJ14" i="10"/>
  <c r="BK14" i="10"/>
  <c r="BL14" i="10"/>
  <c r="BM14" i="10"/>
  <c r="BN14" i="10"/>
  <c r="BO14" i="10"/>
  <c r="BP14" i="10"/>
  <c r="BQ14" i="10"/>
  <c r="BR14" i="10"/>
  <c r="BS14" i="10"/>
  <c r="BT14" i="10"/>
  <c r="BU14" i="10"/>
  <c r="BV14" i="10"/>
  <c r="BW14" i="10"/>
  <c r="BX14" i="10"/>
  <c r="BY14" i="10"/>
  <c r="BZ14" i="10"/>
  <c r="CA14" i="10"/>
  <c r="CB14" i="10"/>
  <c r="CC14" i="10"/>
  <c r="CD14" i="10"/>
  <c r="CE14" i="10"/>
  <c r="CF14" i="10"/>
  <c r="CG14" i="10"/>
  <c r="CH14" i="10"/>
  <c r="CI14" i="10"/>
  <c r="CJ14" i="10"/>
  <c r="CK14" i="10"/>
  <c r="CL14" i="10"/>
  <c r="CM14" i="10"/>
  <c r="CN14" i="10"/>
  <c r="CO14" i="10"/>
  <c r="CP14" i="10"/>
  <c r="CQ14" i="10"/>
  <c r="CR14" i="10"/>
  <c r="CS14" i="10"/>
  <c r="CT14" i="10"/>
  <c r="CU14" i="10"/>
  <c r="CV14" i="10"/>
  <c r="CW14" i="10"/>
  <c r="CX14" i="10"/>
  <c r="CY14" i="10"/>
  <c r="CZ14" i="10"/>
  <c r="DA14" i="10"/>
  <c r="DB14" i="10"/>
  <c r="DC14" i="10"/>
  <c r="DD14" i="10"/>
  <c r="DE14" i="10"/>
  <c r="DF14" i="10"/>
  <c r="DG14" i="10"/>
  <c r="DH14" i="10"/>
  <c r="DI14" i="10"/>
  <c r="DJ14" i="10"/>
  <c r="DK14" i="10"/>
  <c r="DL14" i="10"/>
  <c r="DM14" i="10"/>
  <c r="DN14" i="10"/>
  <c r="DO14" i="10"/>
  <c r="DP14" i="10"/>
  <c r="DQ14" i="10"/>
  <c r="DR14" i="10"/>
  <c r="DS14" i="10"/>
  <c r="DT14" i="10"/>
  <c r="DU14" i="10"/>
  <c r="DV14" i="10"/>
  <c r="DW14" i="10"/>
  <c r="DX14" i="10"/>
  <c r="DY14" i="10"/>
  <c r="DZ14" i="10"/>
  <c r="EA14" i="10"/>
  <c r="EB14" i="10"/>
  <c r="EC14" i="10"/>
  <c r="ED14" i="10"/>
  <c r="EE14" i="10"/>
  <c r="EF14" i="10"/>
  <c r="EG14" i="10"/>
  <c r="EH14" i="10"/>
  <c r="EI14" i="10"/>
  <c r="EJ14" i="10"/>
  <c r="EK14" i="10"/>
  <c r="EL14" i="10"/>
  <c r="EM14" i="10"/>
  <c r="EN14" i="10"/>
  <c r="EO14" i="10"/>
  <c r="EP14" i="10"/>
  <c r="EQ14" i="10"/>
  <c r="ER14" i="10"/>
  <c r="ES14" i="10"/>
  <c r="ET14" i="10"/>
  <c r="EU14" i="10"/>
  <c r="EV14" i="10"/>
  <c r="EW14" i="10"/>
  <c r="EX14" i="10"/>
  <c r="EY14" i="10"/>
  <c r="EZ14" i="10"/>
  <c r="FA14" i="10"/>
  <c r="FB14" i="10"/>
  <c r="FC14" i="10"/>
  <c r="FD14" i="10"/>
  <c r="FE14" i="10"/>
  <c r="FF14" i="10"/>
  <c r="FG14" i="10"/>
  <c r="FH14" i="10"/>
  <c r="FI14" i="10"/>
  <c r="FJ14" i="10"/>
  <c r="FK14" i="10"/>
  <c r="FL14" i="10"/>
  <c r="FM14" i="10"/>
  <c r="FN14" i="10"/>
  <c r="FO14" i="10"/>
  <c r="FP14" i="10"/>
  <c r="FQ14" i="10"/>
  <c r="FR14" i="10"/>
  <c r="FS14" i="10"/>
  <c r="FT14" i="10"/>
  <c r="FU14" i="10"/>
  <c r="FV14" i="10"/>
  <c r="FW14" i="10"/>
  <c r="FX14" i="10"/>
  <c r="FY14" i="10"/>
  <c r="FZ14" i="10"/>
  <c r="GA14" i="10"/>
  <c r="GB14" i="10"/>
  <c r="GC14" i="10"/>
  <c r="GD14" i="10"/>
  <c r="GE14" i="10"/>
  <c r="GF14" i="10"/>
  <c r="GG14" i="10"/>
  <c r="GH14" i="10"/>
  <c r="GI14" i="10"/>
  <c r="GJ14" i="10"/>
  <c r="GK14" i="10"/>
  <c r="GL14" i="10"/>
  <c r="GM14" i="10"/>
  <c r="GN14" i="10"/>
  <c r="GO14" i="10"/>
  <c r="GP14" i="10"/>
  <c r="GQ14" i="10"/>
  <c r="GR14" i="10"/>
  <c r="GS14" i="10"/>
  <c r="GT14" i="10"/>
  <c r="GU14" i="10"/>
  <c r="GV14" i="10"/>
  <c r="GW14" i="10"/>
  <c r="GX14" i="10"/>
  <c r="GY14" i="10"/>
  <c r="GZ14" i="10"/>
  <c r="HA14" i="10"/>
  <c r="HB14" i="10"/>
  <c r="HC14" i="10"/>
  <c r="HD14" i="10"/>
  <c r="HE14" i="10"/>
  <c r="HF14" i="10"/>
  <c r="HG14" i="10"/>
  <c r="HH14" i="10"/>
  <c r="HI14" i="10"/>
  <c r="HJ14" i="10"/>
  <c r="HK14" i="10"/>
  <c r="HL14" i="10"/>
  <c r="HM14" i="10"/>
  <c r="HN14" i="10"/>
  <c r="HO14" i="10"/>
  <c r="HP14" i="10"/>
  <c r="HQ14" i="10"/>
  <c r="HR14" i="10"/>
  <c r="HS14" i="10"/>
  <c r="HT14" i="10"/>
  <c r="HU14" i="10"/>
  <c r="HV14" i="10"/>
  <c r="HW14" i="10"/>
  <c r="HX14" i="10"/>
  <c r="HY14" i="10"/>
  <c r="HZ14" i="10"/>
  <c r="IA14" i="10"/>
  <c r="IB14" i="10"/>
  <c r="IC14" i="10"/>
  <c r="ID14" i="10"/>
  <c r="IE14" i="10"/>
  <c r="IF14" i="10"/>
  <c r="IG14" i="10"/>
  <c r="IH14" i="10"/>
  <c r="II14" i="10"/>
  <c r="IJ14" i="10"/>
  <c r="IK14" i="10"/>
  <c r="IL14" i="10"/>
  <c r="IM14" i="10"/>
  <c r="IN14" i="10"/>
  <c r="IO14" i="10"/>
  <c r="IP14" i="10"/>
  <c r="IQ14" i="10"/>
  <c r="IR14" i="10"/>
  <c r="IS14" i="10"/>
  <c r="IT14" i="10"/>
  <c r="IU14" i="10"/>
  <c r="IV14" i="10"/>
  <c r="A13" i="10"/>
  <c r="B13" i="10"/>
  <c r="C13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Z13" i="10"/>
  <c r="AA13" i="10"/>
  <c r="AB13" i="10"/>
  <c r="AC13" i="10"/>
  <c r="AD13" i="10"/>
  <c r="AE13" i="10"/>
  <c r="AF13" i="10"/>
  <c r="AG13" i="10"/>
  <c r="AH13" i="10"/>
  <c r="AI13" i="10"/>
  <c r="AJ13" i="10"/>
  <c r="AK13" i="10"/>
  <c r="AL13" i="10"/>
  <c r="AM13" i="10"/>
  <c r="AN13" i="10"/>
  <c r="AO13" i="10"/>
  <c r="AP13" i="10"/>
  <c r="AQ13" i="10"/>
  <c r="AR13" i="10"/>
  <c r="AS13" i="10"/>
  <c r="AT13" i="10"/>
  <c r="AU13" i="10"/>
  <c r="AV13" i="10"/>
  <c r="AW13" i="10"/>
  <c r="AX13" i="10"/>
  <c r="AY13" i="10"/>
  <c r="AZ13" i="10"/>
  <c r="BA13" i="10"/>
  <c r="BB13" i="10"/>
  <c r="BC13" i="10"/>
  <c r="BD13" i="10"/>
  <c r="BE13" i="10"/>
  <c r="BF13" i="10"/>
  <c r="BG13" i="10"/>
  <c r="BH13" i="10"/>
  <c r="BI13" i="10"/>
  <c r="BJ13" i="10"/>
  <c r="BK13" i="10"/>
  <c r="BL13" i="10"/>
  <c r="BM13" i="10"/>
  <c r="BN13" i="10"/>
  <c r="BO13" i="10"/>
  <c r="BP13" i="10"/>
  <c r="BQ13" i="10"/>
  <c r="BR13" i="10"/>
  <c r="BS13" i="10"/>
  <c r="BT13" i="10"/>
  <c r="BU13" i="10"/>
  <c r="BV13" i="10"/>
  <c r="BW13" i="10"/>
  <c r="BX13" i="10"/>
  <c r="BY13" i="10"/>
  <c r="BZ13" i="10"/>
  <c r="CA13" i="10"/>
  <c r="CB13" i="10"/>
  <c r="CC13" i="10"/>
  <c r="CD13" i="10"/>
  <c r="CE13" i="10"/>
  <c r="CF13" i="10"/>
  <c r="CG13" i="10"/>
  <c r="CH13" i="10"/>
  <c r="CI13" i="10"/>
  <c r="CJ13" i="10"/>
  <c r="CK13" i="10"/>
  <c r="CL13" i="10"/>
  <c r="CM13" i="10"/>
  <c r="CN13" i="10"/>
  <c r="CO13" i="10"/>
  <c r="CP13" i="10"/>
  <c r="CQ13" i="10"/>
  <c r="CR13" i="10"/>
  <c r="CS13" i="10"/>
  <c r="CT13" i="10"/>
  <c r="CU13" i="10"/>
  <c r="CV13" i="10"/>
  <c r="CW13" i="10"/>
  <c r="CX13" i="10"/>
  <c r="CY13" i="10"/>
  <c r="CZ13" i="10"/>
  <c r="DA13" i="10"/>
  <c r="DB13" i="10"/>
  <c r="DC13" i="10"/>
  <c r="DD13" i="10"/>
  <c r="DE13" i="10"/>
  <c r="DF13" i="10"/>
  <c r="DG13" i="10"/>
  <c r="DH13" i="10"/>
  <c r="DI13" i="10"/>
  <c r="DJ13" i="10"/>
  <c r="DK13" i="10"/>
  <c r="DL13" i="10"/>
  <c r="DM13" i="10"/>
  <c r="DN13" i="10"/>
  <c r="DO13" i="10"/>
  <c r="DP13" i="10"/>
  <c r="DQ13" i="10"/>
  <c r="DR13" i="10"/>
  <c r="DS13" i="10"/>
  <c r="DT13" i="10"/>
  <c r="DU13" i="10"/>
  <c r="DV13" i="10"/>
  <c r="DW13" i="10"/>
  <c r="DX13" i="10"/>
  <c r="DY13" i="10"/>
  <c r="DZ13" i="10"/>
  <c r="EA13" i="10"/>
  <c r="EB13" i="10"/>
  <c r="EC13" i="10"/>
  <c r="ED13" i="10"/>
  <c r="EE13" i="10"/>
  <c r="EF13" i="10"/>
  <c r="EG13" i="10"/>
  <c r="EH13" i="10"/>
  <c r="EI13" i="10"/>
  <c r="EJ13" i="10"/>
  <c r="EK13" i="10"/>
  <c r="EL13" i="10"/>
  <c r="EM13" i="10"/>
  <c r="EN13" i="10"/>
  <c r="EO13" i="10"/>
  <c r="EP13" i="10"/>
  <c r="EQ13" i="10"/>
  <c r="ER13" i="10"/>
  <c r="ES13" i="10"/>
  <c r="ET13" i="10"/>
  <c r="EU13" i="10"/>
  <c r="EV13" i="10"/>
  <c r="EW13" i="10"/>
  <c r="EX13" i="10"/>
  <c r="EY13" i="10"/>
  <c r="EZ13" i="10"/>
  <c r="FA13" i="10"/>
  <c r="FB13" i="10"/>
  <c r="FC13" i="10"/>
  <c r="FD13" i="10"/>
  <c r="FE13" i="10"/>
  <c r="FF13" i="10"/>
  <c r="FG13" i="10"/>
  <c r="FH13" i="10"/>
  <c r="FI13" i="10"/>
  <c r="FJ13" i="10"/>
  <c r="FK13" i="10"/>
  <c r="FL13" i="10"/>
  <c r="FM13" i="10"/>
  <c r="FN13" i="10"/>
  <c r="FO13" i="10"/>
  <c r="FP13" i="10"/>
  <c r="FQ13" i="10"/>
  <c r="FR13" i="10"/>
  <c r="FS13" i="10"/>
  <c r="FT13" i="10"/>
  <c r="FU13" i="10"/>
  <c r="FV13" i="10"/>
  <c r="FW13" i="10"/>
  <c r="FX13" i="10"/>
  <c r="FY13" i="10"/>
  <c r="FZ13" i="10"/>
  <c r="GA13" i="10"/>
  <c r="GB13" i="10"/>
  <c r="GC13" i="10"/>
  <c r="GD13" i="10"/>
  <c r="GE13" i="10"/>
  <c r="GF13" i="10"/>
  <c r="GG13" i="10"/>
  <c r="GH13" i="10"/>
  <c r="GI13" i="10"/>
  <c r="GJ13" i="10"/>
  <c r="GK13" i="10"/>
  <c r="GL13" i="10"/>
  <c r="GM13" i="10"/>
  <c r="GN13" i="10"/>
  <c r="GO13" i="10"/>
  <c r="GP13" i="10"/>
  <c r="GQ13" i="10"/>
  <c r="GR13" i="10"/>
  <c r="GS13" i="10"/>
  <c r="GT13" i="10"/>
  <c r="GU13" i="10"/>
  <c r="GV13" i="10"/>
  <c r="GW13" i="10"/>
  <c r="GX13" i="10"/>
  <c r="GY13" i="10"/>
  <c r="GZ13" i="10"/>
  <c r="HA13" i="10"/>
  <c r="HB13" i="10"/>
  <c r="HC13" i="10"/>
  <c r="HD13" i="10"/>
  <c r="HE13" i="10"/>
  <c r="HF13" i="10"/>
  <c r="HG13" i="10"/>
  <c r="HH13" i="10"/>
  <c r="HI13" i="10"/>
  <c r="HJ13" i="10"/>
  <c r="HK13" i="10"/>
  <c r="HL13" i="10"/>
  <c r="HM13" i="10"/>
  <c r="HN13" i="10"/>
  <c r="HO13" i="10"/>
  <c r="HP13" i="10"/>
  <c r="HQ13" i="10"/>
  <c r="HR13" i="10"/>
  <c r="HS13" i="10"/>
  <c r="HT13" i="10"/>
  <c r="HU13" i="10"/>
  <c r="HV13" i="10"/>
  <c r="HW13" i="10"/>
  <c r="HX13" i="10"/>
  <c r="HY13" i="10"/>
  <c r="HZ13" i="10"/>
  <c r="IA13" i="10"/>
  <c r="IB13" i="10"/>
  <c r="IC13" i="10"/>
  <c r="ID13" i="10"/>
  <c r="IE13" i="10"/>
  <c r="IF13" i="10"/>
  <c r="IG13" i="10"/>
  <c r="IH13" i="10"/>
  <c r="II13" i="10"/>
  <c r="IJ13" i="10"/>
  <c r="IK13" i="10"/>
  <c r="IL13" i="10"/>
  <c r="IM13" i="10"/>
  <c r="IN13" i="10"/>
  <c r="IO13" i="10"/>
  <c r="IP13" i="10"/>
  <c r="IQ13" i="10"/>
  <c r="IR13" i="10"/>
  <c r="IS13" i="10"/>
  <c r="IT13" i="10"/>
  <c r="IU13" i="10"/>
  <c r="IV13" i="10"/>
  <c r="A12" i="10"/>
  <c r="B12" i="10"/>
  <c r="C12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U12" i="10"/>
  <c r="V12" i="10"/>
  <c r="W12" i="10"/>
  <c r="X12" i="10"/>
  <c r="Y12" i="10"/>
  <c r="Z12" i="10"/>
  <c r="AA12" i="10"/>
  <c r="AB12" i="10"/>
  <c r="AC12" i="10"/>
  <c r="AD12" i="10"/>
  <c r="AE12" i="10"/>
  <c r="AF12" i="10"/>
  <c r="AG12" i="10"/>
  <c r="AH12" i="10"/>
  <c r="AI12" i="10"/>
  <c r="AJ12" i="10"/>
  <c r="AK12" i="10"/>
  <c r="AL12" i="10"/>
  <c r="AM12" i="10"/>
  <c r="AN12" i="10"/>
  <c r="AO12" i="10"/>
  <c r="AP12" i="10"/>
  <c r="AQ12" i="10"/>
  <c r="AR12" i="10"/>
  <c r="AS12" i="10"/>
  <c r="AT12" i="10"/>
  <c r="AU12" i="10"/>
  <c r="AV12" i="10"/>
  <c r="AW12" i="10"/>
  <c r="AX12" i="10"/>
  <c r="AY12" i="10"/>
  <c r="AZ12" i="10"/>
  <c r="BA12" i="10"/>
  <c r="BB12" i="10"/>
  <c r="BC12" i="10"/>
  <c r="BD12" i="10"/>
  <c r="BE12" i="10"/>
  <c r="BF12" i="10"/>
  <c r="BG12" i="10"/>
  <c r="BH12" i="10"/>
  <c r="BI12" i="10"/>
  <c r="BJ12" i="10"/>
  <c r="BK12" i="10"/>
  <c r="BL12" i="10"/>
  <c r="BM12" i="10"/>
  <c r="BN12" i="10"/>
  <c r="BO12" i="10"/>
  <c r="BP12" i="10"/>
  <c r="BQ12" i="10"/>
  <c r="BR12" i="10"/>
  <c r="BS12" i="10"/>
  <c r="BT12" i="10"/>
  <c r="BU12" i="10"/>
  <c r="BV12" i="10"/>
  <c r="BW12" i="10"/>
  <c r="BX12" i="10"/>
  <c r="BY12" i="10"/>
  <c r="BZ12" i="10"/>
  <c r="CA12" i="10"/>
  <c r="CB12" i="10"/>
  <c r="CC12" i="10"/>
  <c r="CD12" i="10"/>
  <c r="CE12" i="10"/>
  <c r="CF12" i="10"/>
  <c r="CG12" i="10"/>
  <c r="CH12" i="10"/>
  <c r="CI12" i="10"/>
  <c r="CJ12" i="10"/>
  <c r="CK12" i="10"/>
  <c r="CL12" i="10"/>
  <c r="CM12" i="10"/>
  <c r="CN12" i="10"/>
  <c r="CO12" i="10"/>
  <c r="CP12" i="10"/>
  <c r="CQ12" i="10"/>
  <c r="CR12" i="10"/>
  <c r="CS12" i="10"/>
  <c r="CT12" i="10"/>
  <c r="CU12" i="10"/>
  <c r="CV12" i="10"/>
  <c r="CW12" i="10"/>
  <c r="CX12" i="10"/>
  <c r="CY12" i="10"/>
  <c r="CZ12" i="10"/>
  <c r="DA12" i="10"/>
  <c r="DB12" i="10"/>
  <c r="DC12" i="10"/>
  <c r="DD12" i="10"/>
  <c r="DE12" i="10"/>
  <c r="DF12" i="10"/>
  <c r="DG12" i="10"/>
  <c r="DH12" i="10"/>
  <c r="DI12" i="10"/>
  <c r="DJ12" i="10"/>
  <c r="DK12" i="10"/>
  <c r="DL12" i="10"/>
  <c r="DM12" i="10"/>
  <c r="DN12" i="10"/>
  <c r="DO12" i="10"/>
  <c r="DP12" i="10"/>
  <c r="DQ12" i="10"/>
  <c r="DR12" i="10"/>
  <c r="DS12" i="10"/>
  <c r="DT12" i="10"/>
  <c r="DU12" i="10"/>
  <c r="DV12" i="10"/>
  <c r="DW12" i="10"/>
  <c r="DX12" i="10"/>
  <c r="DY12" i="10"/>
  <c r="DZ12" i="10"/>
  <c r="EA12" i="10"/>
  <c r="EB12" i="10"/>
  <c r="EC12" i="10"/>
  <c r="ED12" i="10"/>
  <c r="EE12" i="10"/>
  <c r="EF12" i="10"/>
  <c r="EG12" i="10"/>
  <c r="EH12" i="10"/>
  <c r="EI12" i="10"/>
  <c r="EJ12" i="10"/>
  <c r="EK12" i="10"/>
  <c r="EL12" i="10"/>
  <c r="EM12" i="10"/>
  <c r="EN12" i="10"/>
  <c r="EO12" i="10"/>
  <c r="EP12" i="10"/>
  <c r="EQ12" i="10"/>
  <c r="ER12" i="10"/>
  <c r="ES12" i="10"/>
  <c r="ET12" i="10"/>
  <c r="EU12" i="10"/>
  <c r="EV12" i="10"/>
  <c r="EW12" i="10"/>
  <c r="EX12" i="10"/>
  <c r="EY12" i="10"/>
  <c r="EZ12" i="10"/>
  <c r="FA12" i="10"/>
  <c r="FB12" i="10"/>
  <c r="FC12" i="10"/>
  <c r="FD12" i="10"/>
  <c r="FE12" i="10"/>
  <c r="FF12" i="10"/>
  <c r="FG12" i="10"/>
  <c r="FH12" i="10"/>
  <c r="FI12" i="10"/>
  <c r="FJ12" i="10"/>
  <c r="FK12" i="10"/>
  <c r="FL12" i="10"/>
  <c r="FM12" i="10"/>
  <c r="FN12" i="10"/>
  <c r="FO12" i="10"/>
  <c r="FP12" i="10"/>
  <c r="FQ12" i="10"/>
  <c r="FR12" i="10"/>
  <c r="FS12" i="10"/>
  <c r="FT12" i="10"/>
  <c r="FU12" i="10"/>
  <c r="FV12" i="10"/>
  <c r="FW12" i="10"/>
  <c r="FX12" i="10"/>
  <c r="FY12" i="10"/>
  <c r="FZ12" i="10"/>
  <c r="GA12" i="10"/>
  <c r="GB12" i="10"/>
  <c r="GC12" i="10"/>
  <c r="GD12" i="10"/>
  <c r="GE12" i="10"/>
  <c r="GF12" i="10"/>
  <c r="GG12" i="10"/>
  <c r="GH12" i="10"/>
  <c r="GI12" i="10"/>
  <c r="GJ12" i="10"/>
  <c r="GK12" i="10"/>
  <c r="GL12" i="10"/>
  <c r="GM12" i="10"/>
  <c r="GN12" i="10"/>
  <c r="GO12" i="10"/>
  <c r="GP12" i="10"/>
  <c r="GQ12" i="10"/>
  <c r="GR12" i="10"/>
  <c r="GS12" i="10"/>
  <c r="GT12" i="10"/>
  <c r="GU12" i="10"/>
  <c r="GV12" i="10"/>
  <c r="GW12" i="10"/>
  <c r="GX12" i="10"/>
  <c r="GY12" i="10"/>
  <c r="GZ12" i="10"/>
  <c r="HA12" i="10"/>
  <c r="HB12" i="10"/>
  <c r="HC12" i="10"/>
  <c r="HD12" i="10"/>
  <c r="HE12" i="10"/>
  <c r="HF12" i="10"/>
  <c r="HG12" i="10"/>
  <c r="HH12" i="10"/>
  <c r="HI12" i="10"/>
  <c r="HJ12" i="10"/>
  <c r="HK12" i="10"/>
  <c r="HL12" i="10"/>
  <c r="HM12" i="10"/>
  <c r="HN12" i="10"/>
  <c r="HO12" i="10"/>
  <c r="HP12" i="10"/>
  <c r="HQ12" i="10"/>
  <c r="HR12" i="10"/>
  <c r="HS12" i="10"/>
  <c r="HT12" i="10"/>
  <c r="HU12" i="10"/>
  <c r="HV12" i="10"/>
  <c r="HW12" i="10"/>
  <c r="HX12" i="10"/>
  <c r="HY12" i="10"/>
  <c r="HZ12" i="10"/>
  <c r="IA12" i="10"/>
  <c r="IB12" i="10"/>
  <c r="IC12" i="10"/>
  <c r="ID12" i="10"/>
  <c r="IE12" i="10"/>
  <c r="IF12" i="10"/>
  <c r="IG12" i="10"/>
  <c r="IH12" i="10"/>
  <c r="II12" i="10"/>
  <c r="IJ12" i="10"/>
  <c r="IK12" i="10"/>
  <c r="IL12" i="10"/>
  <c r="IM12" i="10"/>
  <c r="IN12" i="10"/>
  <c r="IO12" i="10"/>
  <c r="IP12" i="10"/>
  <c r="IQ12" i="10"/>
  <c r="IR12" i="10"/>
  <c r="IS12" i="10"/>
  <c r="IT12" i="10"/>
  <c r="IU12" i="10"/>
  <c r="IV12" i="10"/>
  <c r="A11" i="10"/>
  <c r="B11" i="10"/>
  <c r="C11" i="10"/>
  <c r="D11" i="10"/>
  <c r="E11" i="10"/>
  <c r="F11" i="10"/>
  <c r="G11" i="10"/>
  <c r="H11" i="10"/>
  <c r="I11" i="10"/>
  <c r="J11" i="10"/>
  <c r="K11" i="10"/>
  <c r="L11" i="10"/>
  <c r="M11" i="10"/>
  <c r="N11" i="10"/>
  <c r="O11" i="10"/>
  <c r="P11" i="10"/>
  <c r="Q11" i="10"/>
  <c r="R11" i="10"/>
  <c r="S11" i="10"/>
  <c r="T11" i="10"/>
  <c r="U11" i="10"/>
  <c r="V11" i="10"/>
  <c r="W11" i="10"/>
  <c r="X11" i="10"/>
  <c r="Y11" i="10"/>
  <c r="Z11" i="10"/>
  <c r="AA11" i="10"/>
  <c r="AB11" i="10"/>
  <c r="AC11" i="10"/>
  <c r="AD11" i="10"/>
  <c r="AE11" i="10"/>
  <c r="AF11" i="10"/>
  <c r="AG11" i="10"/>
  <c r="AH11" i="10"/>
  <c r="AI11" i="10"/>
  <c r="AJ11" i="10"/>
  <c r="AK11" i="10"/>
  <c r="AL11" i="10"/>
  <c r="AM11" i="10"/>
  <c r="AN11" i="10"/>
  <c r="AO11" i="10"/>
  <c r="AP11" i="10"/>
  <c r="AQ11" i="10"/>
  <c r="AR11" i="10"/>
  <c r="AS11" i="10"/>
  <c r="AT11" i="10"/>
  <c r="AU11" i="10"/>
  <c r="AV11" i="10"/>
  <c r="AW11" i="10"/>
  <c r="AX11" i="10"/>
  <c r="AY11" i="10"/>
  <c r="AZ11" i="10"/>
  <c r="BA11" i="10"/>
  <c r="BB11" i="10"/>
  <c r="BC11" i="10"/>
  <c r="BD11" i="10"/>
  <c r="BE11" i="10"/>
  <c r="BF11" i="10"/>
  <c r="BG11" i="10"/>
  <c r="BH11" i="10"/>
  <c r="BI11" i="10"/>
  <c r="BJ11" i="10"/>
  <c r="BK11" i="10"/>
  <c r="BL11" i="10"/>
  <c r="BM11" i="10"/>
  <c r="BN11" i="10"/>
  <c r="BO11" i="10"/>
  <c r="BP11" i="10"/>
  <c r="BQ11" i="10"/>
  <c r="BR11" i="10"/>
  <c r="BS11" i="10"/>
  <c r="BT11" i="10"/>
  <c r="BU11" i="10"/>
  <c r="BV11" i="10"/>
  <c r="BW11" i="10"/>
  <c r="BX11" i="10"/>
  <c r="BY11" i="10"/>
  <c r="BZ11" i="10"/>
  <c r="CA11" i="10"/>
  <c r="CB11" i="10"/>
  <c r="CC11" i="10"/>
  <c r="CD11" i="10"/>
  <c r="CE11" i="10"/>
  <c r="CF11" i="10"/>
  <c r="CG11" i="10"/>
  <c r="CH11" i="10"/>
  <c r="CI11" i="10"/>
  <c r="CJ11" i="10"/>
  <c r="CK11" i="10"/>
  <c r="CL11" i="10"/>
  <c r="CM11" i="10"/>
  <c r="CN11" i="10"/>
  <c r="CO11" i="10"/>
  <c r="CP11" i="10"/>
  <c r="CQ11" i="10"/>
  <c r="CR11" i="10"/>
  <c r="CS11" i="10"/>
  <c r="CT11" i="10"/>
  <c r="CU11" i="10"/>
  <c r="CV11" i="10"/>
  <c r="CW11" i="10"/>
  <c r="CX11" i="10"/>
  <c r="CY11" i="10"/>
  <c r="CZ11" i="10"/>
  <c r="DA11" i="10"/>
  <c r="DB11" i="10"/>
  <c r="DC11" i="10"/>
  <c r="DD11" i="10"/>
  <c r="DE11" i="10"/>
  <c r="DF11" i="10"/>
  <c r="DG11" i="10"/>
  <c r="DH11" i="10"/>
  <c r="DI11" i="10"/>
  <c r="DJ11" i="10"/>
  <c r="DK11" i="10"/>
  <c r="DL11" i="10"/>
  <c r="DM11" i="10"/>
  <c r="DN11" i="10"/>
  <c r="DO11" i="10"/>
  <c r="DP11" i="10"/>
  <c r="DQ11" i="10"/>
  <c r="DR11" i="10"/>
  <c r="DS11" i="10"/>
  <c r="DT11" i="10"/>
  <c r="DU11" i="10"/>
  <c r="DV11" i="10"/>
  <c r="DW11" i="10"/>
  <c r="DX11" i="10"/>
  <c r="DY11" i="10"/>
  <c r="DZ11" i="10"/>
  <c r="EA11" i="10"/>
  <c r="EB11" i="10"/>
  <c r="EC11" i="10"/>
  <c r="ED11" i="10"/>
  <c r="EE11" i="10"/>
  <c r="EF11" i="10"/>
  <c r="EG11" i="10"/>
  <c r="EH11" i="10"/>
  <c r="EI11" i="10"/>
  <c r="EJ11" i="10"/>
  <c r="EK11" i="10"/>
  <c r="EL11" i="10"/>
  <c r="EM11" i="10"/>
  <c r="EN11" i="10"/>
  <c r="EO11" i="10"/>
  <c r="EP11" i="10"/>
  <c r="EQ11" i="10"/>
  <c r="ER11" i="10"/>
  <c r="ES11" i="10"/>
  <c r="ET11" i="10"/>
  <c r="EU11" i="10"/>
  <c r="EV11" i="10"/>
  <c r="EW11" i="10"/>
  <c r="EX11" i="10"/>
  <c r="EY11" i="10"/>
  <c r="EZ11" i="10"/>
  <c r="FA11" i="10"/>
  <c r="FB11" i="10"/>
  <c r="FC11" i="10"/>
  <c r="FD11" i="10"/>
  <c r="FE11" i="10"/>
  <c r="FF11" i="10"/>
  <c r="FG11" i="10"/>
  <c r="FH11" i="10"/>
  <c r="FI11" i="10"/>
  <c r="FJ11" i="10"/>
  <c r="FK11" i="10"/>
  <c r="FL11" i="10"/>
  <c r="FM11" i="10"/>
  <c r="FN11" i="10"/>
  <c r="FO11" i="10"/>
  <c r="FP11" i="10"/>
  <c r="FQ11" i="10"/>
  <c r="FR11" i="10"/>
  <c r="FS11" i="10"/>
  <c r="FT11" i="10"/>
  <c r="FU11" i="10"/>
  <c r="FV11" i="10"/>
  <c r="FW11" i="10"/>
  <c r="FX11" i="10"/>
  <c r="FY11" i="10"/>
  <c r="FZ11" i="10"/>
  <c r="GA11" i="10"/>
  <c r="GB11" i="10"/>
  <c r="GC11" i="10"/>
  <c r="GD11" i="10"/>
  <c r="GE11" i="10"/>
  <c r="GF11" i="10"/>
  <c r="GG11" i="10"/>
  <c r="GH11" i="10"/>
  <c r="GI11" i="10"/>
  <c r="GJ11" i="10"/>
  <c r="GK11" i="10"/>
  <c r="GL11" i="10"/>
  <c r="GM11" i="10"/>
  <c r="GN11" i="10"/>
  <c r="GO11" i="10"/>
  <c r="GP11" i="10"/>
  <c r="GQ11" i="10"/>
  <c r="GR11" i="10"/>
  <c r="GS11" i="10"/>
  <c r="GT11" i="10"/>
  <c r="GU11" i="10"/>
  <c r="GV11" i="10"/>
  <c r="GW11" i="10"/>
  <c r="GX11" i="10"/>
  <c r="GY11" i="10"/>
  <c r="GZ11" i="10"/>
  <c r="HA11" i="10"/>
  <c r="HB11" i="10"/>
  <c r="HC11" i="10"/>
  <c r="HD11" i="10"/>
  <c r="HE11" i="10"/>
  <c r="HF11" i="10"/>
  <c r="HG11" i="10"/>
  <c r="HH11" i="10"/>
  <c r="HI11" i="10"/>
  <c r="HJ11" i="10"/>
  <c r="HK11" i="10"/>
  <c r="HL11" i="10"/>
  <c r="HM11" i="10"/>
  <c r="HN11" i="10"/>
  <c r="HO11" i="10"/>
  <c r="HP11" i="10"/>
  <c r="HQ11" i="10"/>
  <c r="HR11" i="10"/>
  <c r="HS11" i="10"/>
  <c r="HT11" i="10"/>
  <c r="HU11" i="10"/>
  <c r="HV11" i="10"/>
  <c r="HW11" i="10"/>
  <c r="HX11" i="10"/>
  <c r="HY11" i="10"/>
  <c r="HZ11" i="10"/>
  <c r="IA11" i="10"/>
  <c r="IB11" i="10"/>
  <c r="IC11" i="10"/>
  <c r="ID11" i="10"/>
  <c r="IE11" i="10"/>
  <c r="IF11" i="10"/>
  <c r="IG11" i="10"/>
  <c r="IH11" i="10"/>
  <c r="II11" i="10"/>
  <c r="IJ11" i="10"/>
  <c r="IK11" i="10"/>
  <c r="IL11" i="10"/>
  <c r="IM11" i="10"/>
  <c r="IN11" i="10"/>
  <c r="IO11" i="10"/>
  <c r="IP11" i="10"/>
  <c r="IQ11" i="10"/>
  <c r="IR11" i="10"/>
  <c r="IS11" i="10"/>
  <c r="IT11" i="10"/>
  <c r="IU11" i="10"/>
  <c r="IV11" i="10"/>
  <c r="A10" i="10"/>
  <c r="B10" i="10"/>
  <c r="C10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W10" i="10"/>
  <c r="X10" i="10"/>
  <c r="Y10" i="10"/>
  <c r="Z10" i="10"/>
  <c r="AA10" i="10"/>
  <c r="AB10" i="10"/>
  <c r="AC10" i="10"/>
  <c r="AD10" i="10"/>
  <c r="AE10" i="10"/>
  <c r="AF10" i="10"/>
  <c r="AG10" i="10"/>
  <c r="AH10" i="10"/>
  <c r="AI10" i="10"/>
  <c r="AJ10" i="10"/>
  <c r="AK10" i="10"/>
  <c r="AL10" i="10"/>
  <c r="AM10" i="10"/>
  <c r="AN10" i="10"/>
  <c r="AO10" i="10"/>
  <c r="AP10" i="10"/>
  <c r="AQ10" i="10"/>
  <c r="AR10" i="10"/>
  <c r="AS10" i="10"/>
  <c r="AT10" i="10"/>
  <c r="AU10" i="10"/>
  <c r="AV10" i="10"/>
  <c r="AW10" i="10"/>
  <c r="AX10" i="10"/>
  <c r="AY10" i="10"/>
  <c r="AZ10" i="10"/>
  <c r="BA10" i="10"/>
  <c r="BB10" i="10"/>
  <c r="BC10" i="10"/>
  <c r="BD10" i="10"/>
  <c r="BE10" i="10"/>
  <c r="BF10" i="10"/>
  <c r="BG10" i="10"/>
  <c r="BH10" i="10"/>
  <c r="BI10" i="10"/>
  <c r="BJ10" i="10"/>
  <c r="BK10" i="10"/>
  <c r="BL10" i="10"/>
  <c r="BM10" i="10"/>
  <c r="BN10" i="10"/>
  <c r="BO10" i="10"/>
  <c r="BP10" i="10"/>
  <c r="BQ10" i="10"/>
  <c r="BR10" i="10"/>
  <c r="BS10" i="10"/>
  <c r="BT10" i="10"/>
  <c r="BU10" i="10"/>
  <c r="BV10" i="10"/>
  <c r="BW10" i="10"/>
  <c r="BX10" i="10"/>
  <c r="BY10" i="10"/>
  <c r="BZ10" i="10"/>
  <c r="CA10" i="10"/>
  <c r="CB10" i="10"/>
  <c r="CC10" i="10"/>
  <c r="CD10" i="10"/>
  <c r="CE10" i="10"/>
  <c r="CF10" i="10"/>
  <c r="CG10" i="10"/>
  <c r="CH10" i="10"/>
  <c r="CI10" i="10"/>
  <c r="CJ10" i="10"/>
  <c r="CK10" i="10"/>
  <c r="CL10" i="10"/>
  <c r="CM10" i="10"/>
  <c r="CN10" i="10"/>
  <c r="CO10" i="10"/>
  <c r="CP10" i="10"/>
  <c r="CQ10" i="10"/>
  <c r="CR10" i="10"/>
  <c r="CS10" i="10"/>
  <c r="CT10" i="10"/>
  <c r="CU10" i="10"/>
  <c r="CV10" i="10"/>
  <c r="CW10" i="10"/>
  <c r="CX10" i="10"/>
  <c r="CY10" i="10"/>
  <c r="CZ10" i="10"/>
  <c r="DA10" i="10"/>
  <c r="DB10" i="10"/>
  <c r="DC10" i="10"/>
  <c r="DD10" i="10"/>
  <c r="DE10" i="10"/>
  <c r="DF10" i="10"/>
  <c r="DG10" i="10"/>
  <c r="DH10" i="10"/>
  <c r="DI10" i="10"/>
  <c r="DJ10" i="10"/>
  <c r="DK10" i="10"/>
  <c r="DL10" i="10"/>
  <c r="DM10" i="10"/>
  <c r="DN10" i="10"/>
  <c r="DO10" i="10"/>
  <c r="DP10" i="10"/>
  <c r="DQ10" i="10"/>
  <c r="DR10" i="10"/>
  <c r="DS10" i="10"/>
  <c r="DT10" i="10"/>
  <c r="DU10" i="10"/>
  <c r="DV10" i="10"/>
  <c r="DW10" i="10"/>
  <c r="DX10" i="10"/>
  <c r="DY10" i="10"/>
  <c r="DZ10" i="10"/>
  <c r="EA10" i="10"/>
  <c r="EB10" i="10"/>
  <c r="EC10" i="10"/>
  <c r="ED10" i="10"/>
  <c r="EE10" i="10"/>
  <c r="EF10" i="10"/>
  <c r="EG10" i="10"/>
  <c r="EH10" i="10"/>
  <c r="EI10" i="10"/>
  <c r="EJ10" i="10"/>
  <c r="EK10" i="10"/>
  <c r="EL10" i="10"/>
  <c r="EM10" i="10"/>
  <c r="EN10" i="10"/>
  <c r="EO10" i="10"/>
  <c r="EP10" i="10"/>
  <c r="EQ10" i="10"/>
  <c r="ER10" i="10"/>
  <c r="ES10" i="10"/>
  <c r="ET10" i="10"/>
  <c r="EU10" i="10"/>
  <c r="EV10" i="10"/>
  <c r="EW10" i="10"/>
  <c r="EX10" i="10"/>
  <c r="EY10" i="10"/>
  <c r="EZ10" i="10"/>
  <c r="FA10" i="10"/>
  <c r="FB10" i="10"/>
  <c r="FC10" i="10"/>
  <c r="FD10" i="10"/>
  <c r="FE10" i="10"/>
  <c r="FF10" i="10"/>
  <c r="FG10" i="10"/>
  <c r="FH10" i="10"/>
  <c r="FI10" i="10"/>
  <c r="FJ10" i="10"/>
  <c r="FK10" i="10"/>
  <c r="FL10" i="10"/>
  <c r="FM10" i="10"/>
  <c r="FN10" i="10"/>
  <c r="FO10" i="10"/>
  <c r="FP10" i="10"/>
  <c r="FQ10" i="10"/>
  <c r="FR10" i="10"/>
  <c r="FS10" i="10"/>
  <c r="FT10" i="10"/>
  <c r="FU10" i="10"/>
  <c r="FV10" i="10"/>
  <c r="FW10" i="10"/>
  <c r="FX10" i="10"/>
  <c r="FY10" i="10"/>
  <c r="FZ10" i="10"/>
  <c r="GA10" i="10"/>
  <c r="GB10" i="10"/>
  <c r="GC10" i="10"/>
  <c r="GD10" i="10"/>
  <c r="GE10" i="10"/>
  <c r="GF10" i="10"/>
  <c r="GG10" i="10"/>
  <c r="GH10" i="10"/>
  <c r="GI10" i="10"/>
  <c r="GJ10" i="10"/>
  <c r="GK10" i="10"/>
  <c r="GL10" i="10"/>
  <c r="GM10" i="10"/>
  <c r="GN10" i="10"/>
  <c r="GO10" i="10"/>
  <c r="GP10" i="10"/>
  <c r="GQ10" i="10"/>
  <c r="GR10" i="10"/>
  <c r="GS10" i="10"/>
  <c r="GT10" i="10"/>
  <c r="GU10" i="10"/>
  <c r="GV10" i="10"/>
  <c r="GW10" i="10"/>
  <c r="GX10" i="10"/>
  <c r="GY10" i="10"/>
  <c r="GZ10" i="10"/>
  <c r="HA10" i="10"/>
  <c r="HB10" i="10"/>
  <c r="HC10" i="10"/>
  <c r="HD10" i="10"/>
  <c r="HE10" i="10"/>
  <c r="HF10" i="10"/>
  <c r="HG10" i="10"/>
  <c r="HH10" i="10"/>
  <c r="HI10" i="10"/>
  <c r="HJ10" i="10"/>
  <c r="HK10" i="10"/>
  <c r="HL10" i="10"/>
  <c r="HM10" i="10"/>
  <c r="HN10" i="10"/>
  <c r="HO10" i="10"/>
  <c r="HP10" i="10"/>
  <c r="HQ10" i="10"/>
  <c r="HR10" i="10"/>
  <c r="HS10" i="10"/>
  <c r="HT10" i="10"/>
  <c r="HU10" i="10"/>
  <c r="HV10" i="10"/>
  <c r="HW10" i="10"/>
  <c r="HX10" i="10"/>
  <c r="HY10" i="10"/>
  <c r="HZ10" i="10"/>
  <c r="IA10" i="10"/>
  <c r="IB10" i="10"/>
  <c r="IC10" i="10"/>
  <c r="ID10" i="10"/>
  <c r="IE10" i="10"/>
  <c r="IF10" i="10"/>
  <c r="IG10" i="10"/>
  <c r="IH10" i="10"/>
  <c r="II10" i="10"/>
  <c r="IJ10" i="10"/>
  <c r="IK10" i="10"/>
  <c r="IL10" i="10"/>
  <c r="IM10" i="10"/>
  <c r="IN10" i="10"/>
  <c r="IO10" i="10"/>
  <c r="IP10" i="10"/>
  <c r="IQ10" i="10"/>
  <c r="IR10" i="10"/>
  <c r="IS10" i="10"/>
  <c r="IT10" i="10"/>
  <c r="IU10" i="10"/>
  <c r="IV10" i="10"/>
  <c r="A9" i="10"/>
  <c r="B9" i="10"/>
  <c r="C9" i="10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  <c r="U9" i="10"/>
  <c r="V9" i="10"/>
  <c r="W9" i="10"/>
  <c r="X9" i="10"/>
  <c r="Y9" i="10"/>
  <c r="Z9" i="10"/>
  <c r="AA9" i="10"/>
  <c r="AB9" i="10"/>
  <c r="AC9" i="10"/>
  <c r="AD9" i="10"/>
  <c r="AE9" i="10"/>
  <c r="AF9" i="10"/>
  <c r="AG9" i="10"/>
  <c r="AH9" i="10"/>
  <c r="AI9" i="10"/>
  <c r="AJ9" i="10"/>
  <c r="AK9" i="10"/>
  <c r="AL9" i="10"/>
  <c r="AM9" i="10"/>
  <c r="AN9" i="10"/>
  <c r="AO9" i="10"/>
  <c r="AP9" i="10"/>
  <c r="AQ9" i="10"/>
  <c r="AR9" i="10"/>
  <c r="AS9" i="10"/>
  <c r="AT9" i="10"/>
  <c r="AU9" i="10"/>
  <c r="AV9" i="10"/>
  <c r="AW9" i="10"/>
  <c r="AX9" i="10"/>
  <c r="AY9" i="10"/>
  <c r="AZ9" i="10"/>
  <c r="BA9" i="10"/>
  <c r="BB9" i="10"/>
  <c r="BC9" i="10"/>
  <c r="BD9" i="10"/>
  <c r="BE9" i="10"/>
  <c r="BF9" i="10"/>
  <c r="BG9" i="10"/>
  <c r="BH9" i="10"/>
  <c r="BI9" i="10"/>
  <c r="BJ9" i="10"/>
  <c r="BK9" i="10"/>
  <c r="BL9" i="10"/>
  <c r="BM9" i="10"/>
  <c r="BN9" i="10"/>
  <c r="BO9" i="10"/>
  <c r="BP9" i="10"/>
  <c r="BQ9" i="10"/>
  <c r="BR9" i="10"/>
  <c r="BS9" i="10"/>
  <c r="BT9" i="10"/>
  <c r="BU9" i="10"/>
  <c r="BV9" i="10"/>
  <c r="BW9" i="10"/>
  <c r="BX9" i="10"/>
  <c r="BY9" i="10"/>
  <c r="BZ9" i="10"/>
  <c r="CA9" i="10"/>
  <c r="CB9" i="10"/>
  <c r="CC9" i="10"/>
  <c r="CD9" i="10"/>
  <c r="CE9" i="10"/>
  <c r="CF9" i="10"/>
  <c r="CG9" i="10"/>
  <c r="CH9" i="10"/>
  <c r="CI9" i="10"/>
  <c r="CJ9" i="10"/>
  <c r="CK9" i="10"/>
  <c r="CL9" i="10"/>
  <c r="CM9" i="10"/>
  <c r="CN9" i="10"/>
  <c r="CO9" i="10"/>
  <c r="CP9" i="10"/>
  <c r="CQ9" i="10"/>
  <c r="CR9" i="10"/>
  <c r="CS9" i="10"/>
  <c r="CT9" i="10"/>
  <c r="CU9" i="10"/>
  <c r="CV9" i="10"/>
  <c r="CW9" i="10"/>
  <c r="CX9" i="10"/>
  <c r="CY9" i="10"/>
  <c r="CZ9" i="10"/>
  <c r="DA9" i="10"/>
  <c r="DB9" i="10"/>
  <c r="DC9" i="10"/>
  <c r="DD9" i="10"/>
  <c r="DE9" i="10"/>
  <c r="DF9" i="10"/>
  <c r="DG9" i="10"/>
  <c r="DH9" i="10"/>
  <c r="DI9" i="10"/>
  <c r="DJ9" i="10"/>
  <c r="DK9" i="10"/>
  <c r="DL9" i="10"/>
  <c r="DO9" i="10"/>
  <c r="DP9" i="10"/>
  <c r="DQ9" i="10"/>
  <c r="DR9" i="10"/>
  <c r="DS9" i="10"/>
  <c r="DT9" i="10"/>
  <c r="DU9" i="10"/>
  <c r="DV9" i="10"/>
  <c r="DW9" i="10"/>
  <c r="DX9" i="10"/>
  <c r="DY9" i="10"/>
  <c r="DZ9" i="10"/>
  <c r="EA9" i="10"/>
  <c r="EB9" i="10"/>
  <c r="EC9" i="10"/>
  <c r="ED9" i="10"/>
  <c r="EE9" i="10"/>
  <c r="EF9" i="10"/>
  <c r="EG9" i="10"/>
  <c r="EH9" i="10"/>
  <c r="EI9" i="10"/>
  <c r="EJ9" i="10"/>
  <c r="EK9" i="10"/>
  <c r="EL9" i="10"/>
  <c r="EM9" i="10"/>
  <c r="EN9" i="10"/>
  <c r="EO9" i="10"/>
  <c r="EP9" i="10"/>
  <c r="EQ9" i="10"/>
  <c r="ER9" i="10"/>
  <c r="ES9" i="10"/>
  <c r="ET9" i="10"/>
  <c r="EU9" i="10"/>
  <c r="EV9" i="10"/>
  <c r="EW9" i="10"/>
  <c r="EX9" i="10"/>
  <c r="EY9" i="10"/>
  <c r="EZ9" i="10"/>
  <c r="FA9" i="10"/>
  <c r="FB9" i="10"/>
  <c r="FC9" i="10"/>
  <c r="FD9" i="10"/>
  <c r="FE9" i="10"/>
  <c r="FF9" i="10"/>
  <c r="FG9" i="10"/>
  <c r="FH9" i="10"/>
  <c r="FI9" i="10"/>
  <c r="FJ9" i="10"/>
  <c r="FK9" i="10"/>
  <c r="FL9" i="10"/>
  <c r="FM9" i="10"/>
  <c r="FN9" i="10"/>
  <c r="FO9" i="10"/>
  <c r="FP9" i="10"/>
  <c r="FQ9" i="10"/>
  <c r="FR9" i="10"/>
  <c r="FS9" i="10"/>
  <c r="FT9" i="10"/>
  <c r="FU9" i="10"/>
  <c r="FV9" i="10"/>
  <c r="FW9" i="10"/>
  <c r="FX9" i="10"/>
  <c r="FY9" i="10"/>
  <c r="FZ9" i="10"/>
  <c r="GA9" i="10"/>
  <c r="GB9" i="10"/>
  <c r="GC9" i="10"/>
  <c r="GD9" i="10"/>
  <c r="GE9" i="10"/>
  <c r="GF9" i="10"/>
  <c r="GG9" i="10"/>
  <c r="GH9" i="10"/>
  <c r="GI9" i="10"/>
  <c r="GJ9" i="10"/>
  <c r="GK9" i="10"/>
  <c r="GL9" i="10"/>
  <c r="GM9" i="10"/>
  <c r="GN9" i="10"/>
  <c r="GO9" i="10"/>
  <c r="GP9" i="10"/>
  <c r="GQ9" i="10"/>
  <c r="GR9" i="10"/>
  <c r="GS9" i="10"/>
  <c r="GT9" i="10"/>
  <c r="GU9" i="10"/>
  <c r="GV9" i="10"/>
  <c r="GW9" i="10"/>
  <c r="GX9" i="10"/>
  <c r="GY9" i="10"/>
  <c r="GZ9" i="10"/>
  <c r="HA9" i="10"/>
  <c r="HB9" i="10"/>
  <c r="HC9" i="10"/>
  <c r="HD9" i="10"/>
  <c r="HE9" i="10"/>
  <c r="HF9" i="10"/>
  <c r="HG9" i="10"/>
  <c r="HH9" i="10"/>
  <c r="HI9" i="10"/>
  <c r="HJ9" i="10"/>
  <c r="HK9" i="10"/>
  <c r="HL9" i="10"/>
  <c r="HM9" i="10"/>
  <c r="HN9" i="10"/>
  <c r="HO9" i="10"/>
  <c r="HP9" i="10"/>
  <c r="HQ9" i="10"/>
  <c r="HR9" i="10"/>
  <c r="HS9" i="10"/>
  <c r="HT9" i="10"/>
  <c r="HU9" i="10"/>
  <c r="HV9" i="10"/>
  <c r="HW9" i="10"/>
  <c r="HX9" i="10"/>
  <c r="HY9" i="10"/>
  <c r="HZ9" i="10"/>
  <c r="IA9" i="10"/>
  <c r="IB9" i="10"/>
  <c r="IC9" i="10"/>
  <c r="ID9" i="10"/>
  <c r="IE9" i="10"/>
  <c r="IF9" i="10"/>
  <c r="IG9" i="10"/>
  <c r="IH9" i="10"/>
  <c r="II9" i="10"/>
  <c r="IJ9" i="10"/>
  <c r="IK9" i="10"/>
  <c r="IL9" i="10"/>
  <c r="IM9" i="10"/>
  <c r="IN9" i="10"/>
  <c r="IO9" i="10"/>
  <c r="IP9" i="10"/>
  <c r="IQ9" i="10"/>
  <c r="IR9" i="10"/>
  <c r="IS9" i="10"/>
  <c r="IT9" i="10"/>
  <c r="IU9" i="10"/>
  <c r="IV9" i="10"/>
  <c r="A8" i="10"/>
  <c r="B8" i="10"/>
  <c r="C8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R8" i="10"/>
  <c r="S8" i="10"/>
  <c r="T8" i="10"/>
  <c r="U8" i="10"/>
  <c r="V8" i="10"/>
  <c r="W8" i="10"/>
  <c r="X8" i="10"/>
  <c r="Y8" i="10"/>
  <c r="Z8" i="10"/>
  <c r="AA8" i="10"/>
  <c r="AB8" i="10"/>
  <c r="AC8" i="10"/>
  <c r="AD8" i="10"/>
  <c r="AE8" i="10"/>
  <c r="AF8" i="10"/>
  <c r="AG8" i="10"/>
  <c r="AH8" i="10"/>
  <c r="AI8" i="10"/>
  <c r="AJ8" i="10"/>
  <c r="AK8" i="10"/>
  <c r="AL8" i="10"/>
  <c r="AM8" i="10"/>
  <c r="AN8" i="10"/>
  <c r="AO8" i="10"/>
  <c r="AP8" i="10"/>
  <c r="AQ8" i="10"/>
  <c r="AR8" i="10"/>
  <c r="AS8" i="10"/>
  <c r="AT8" i="10"/>
  <c r="AU8" i="10"/>
  <c r="AV8" i="10"/>
  <c r="AW8" i="10"/>
  <c r="AX8" i="10"/>
  <c r="AY8" i="10"/>
  <c r="AZ8" i="10"/>
  <c r="BA8" i="10"/>
  <c r="BB8" i="10"/>
  <c r="BC8" i="10"/>
  <c r="BD8" i="10"/>
  <c r="BE8" i="10"/>
  <c r="BF8" i="10"/>
  <c r="BG8" i="10"/>
  <c r="BH8" i="10"/>
  <c r="BI8" i="10"/>
  <c r="BJ8" i="10"/>
  <c r="BK8" i="10"/>
  <c r="BL8" i="10"/>
  <c r="BM8" i="10"/>
  <c r="BN8" i="10"/>
  <c r="BO8" i="10"/>
  <c r="BP8" i="10"/>
  <c r="BQ8" i="10"/>
  <c r="BR8" i="10"/>
  <c r="BS8" i="10"/>
  <c r="BT8" i="10"/>
  <c r="BU8" i="10"/>
  <c r="BV8" i="10"/>
  <c r="BW8" i="10"/>
  <c r="BX8" i="10"/>
  <c r="BY8" i="10"/>
  <c r="BZ8" i="10"/>
  <c r="CA8" i="10"/>
  <c r="CB8" i="10"/>
  <c r="CC8" i="10"/>
  <c r="CD8" i="10"/>
  <c r="CE8" i="10"/>
  <c r="CF8" i="10"/>
  <c r="CG8" i="10"/>
  <c r="CH8" i="10"/>
  <c r="CI8" i="10"/>
  <c r="CJ8" i="10"/>
  <c r="CK8" i="10"/>
  <c r="CL8" i="10"/>
  <c r="CM8" i="10"/>
  <c r="CN8" i="10"/>
  <c r="CO8" i="10"/>
  <c r="CP8" i="10"/>
  <c r="CQ8" i="10"/>
  <c r="CR8" i="10"/>
  <c r="CS8" i="10"/>
  <c r="CT8" i="10"/>
  <c r="CU8" i="10"/>
  <c r="CV8" i="10"/>
  <c r="CW8" i="10"/>
  <c r="CX8" i="10"/>
  <c r="CY8" i="10"/>
  <c r="CZ8" i="10"/>
  <c r="DA8" i="10"/>
  <c r="DB8" i="10"/>
  <c r="DC8" i="10"/>
  <c r="DD8" i="10"/>
  <c r="DE8" i="10"/>
  <c r="DF8" i="10"/>
  <c r="DG8" i="10"/>
  <c r="DH8" i="10"/>
  <c r="DI8" i="10"/>
  <c r="DJ8" i="10"/>
  <c r="DK8" i="10"/>
  <c r="DL8" i="10"/>
  <c r="DM8" i="10"/>
  <c r="DN8" i="10"/>
  <c r="DO8" i="10"/>
  <c r="DP8" i="10"/>
  <c r="DQ8" i="10"/>
  <c r="DR8" i="10"/>
  <c r="DS8" i="10"/>
  <c r="DT8" i="10"/>
  <c r="DU8" i="10"/>
  <c r="DV8" i="10"/>
  <c r="DW8" i="10"/>
  <c r="DX8" i="10"/>
  <c r="DY8" i="10"/>
  <c r="DZ8" i="10"/>
  <c r="EA8" i="10"/>
  <c r="EB8" i="10"/>
  <c r="EC8" i="10"/>
  <c r="ED8" i="10"/>
  <c r="EE8" i="10"/>
  <c r="EF8" i="10"/>
  <c r="EG8" i="10"/>
  <c r="EH8" i="10"/>
  <c r="EI8" i="10"/>
  <c r="EJ8" i="10"/>
  <c r="EK8" i="10"/>
  <c r="EL8" i="10"/>
  <c r="EM8" i="10"/>
  <c r="EN8" i="10"/>
  <c r="EO8" i="10"/>
  <c r="EP8" i="10"/>
  <c r="EQ8" i="10"/>
  <c r="ER8" i="10"/>
  <c r="ES8" i="10"/>
  <c r="ET8" i="10"/>
  <c r="EU8" i="10"/>
  <c r="EV8" i="10"/>
  <c r="EW8" i="10"/>
  <c r="EX8" i="10"/>
  <c r="EY8" i="10"/>
  <c r="EZ8" i="10"/>
  <c r="FA8" i="10"/>
  <c r="FB8" i="10"/>
  <c r="FC8" i="10"/>
  <c r="FD8" i="10"/>
  <c r="FE8" i="10"/>
  <c r="FF8" i="10"/>
  <c r="FG8" i="10"/>
  <c r="FH8" i="10"/>
  <c r="FI8" i="10"/>
  <c r="FJ8" i="10"/>
  <c r="FK8" i="10"/>
  <c r="FL8" i="10"/>
  <c r="FM8" i="10"/>
  <c r="FN8" i="10"/>
  <c r="FO8" i="10"/>
  <c r="FP8" i="10"/>
  <c r="FQ8" i="10"/>
  <c r="FR8" i="10"/>
  <c r="FS8" i="10"/>
  <c r="FT8" i="10"/>
  <c r="FU8" i="10"/>
  <c r="FV8" i="10"/>
  <c r="FW8" i="10"/>
  <c r="FX8" i="10"/>
  <c r="FY8" i="10"/>
  <c r="FZ8" i="10"/>
  <c r="GA8" i="10"/>
  <c r="GB8" i="10"/>
  <c r="GC8" i="10"/>
  <c r="GD8" i="10"/>
  <c r="GE8" i="10"/>
  <c r="GF8" i="10"/>
  <c r="GG8" i="10"/>
  <c r="GH8" i="10"/>
  <c r="GI8" i="10"/>
  <c r="GJ8" i="10"/>
  <c r="GK8" i="10"/>
  <c r="GL8" i="10"/>
  <c r="GM8" i="10"/>
  <c r="GN8" i="10"/>
  <c r="GO8" i="10"/>
  <c r="GP8" i="10"/>
  <c r="GQ8" i="10"/>
  <c r="GR8" i="10"/>
  <c r="GS8" i="10"/>
  <c r="GT8" i="10"/>
  <c r="GU8" i="10"/>
  <c r="GV8" i="10"/>
  <c r="GW8" i="10"/>
  <c r="GX8" i="10"/>
  <c r="GY8" i="10"/>
  <c r="GZ8" i="10"/>
  <c r="HA8" i="10"/>
  <c r="HB8" i="10"/>
  <c r="HC8" i="10"/>
  <c r="HD8" i="10"/>
  <c r="HE8" i="10"/>
  <c r="HF8" i="10"/>
  <c r="HG8" i="10"/>
  <c r="HH8" i="10"/>
  <c r="HI8" i="10"/>
  <c r="HJ8" i="10"/>
  <c r="HK8" i="10"/>
  <c r="HL8" i="10"/>
  <c r="HM8" i="10"/>
  <c r="HN8" i="10"/>
  <c r="HO8" i="10"/>
  <c r="HP8" i="10"/>
  <c r="HQ8" i="10"/>
  <c r="HR8" i="10"/>
  <c r="HS8" i="10"/>
  <c r="HT8" i="10"/>
  <c r="HU8" i="10"/>
  <c r="HV8" i="10"/>
  <c r="HW8" i="10"/>
  <c r="HX8" i="10"/>
  <c r="HY8" i="10"/>
  <c r="HZ8" i="10"/>
  <c r="IA8" i="10"/>
  <c r="IB8" i="10"/>
  <c r="IC8" i="10"/>
  <c r="ID8" i="10"/>
  <c r="IE8" i="10"/>
  <c r="IF8" i="10"/>
  <c r="IG8" i="10"/>
  <c r="IH8" i="10"/>
  <c r="II8" i="10"/>
  <c r="IJ8" i="10"/>
  <c r="IK8" i="10"/>
  <c r="IL8" i="10"/>
  <c r="IM8" i="10"/>
  <c r="IN8" i="10"/>
  <c r="IO8" i="10"/>
  <c r="IP8" i="10"/>
  <c r="IQ8" i="10"/>
  <c r="IR8" i="10"/>
  <c r="IS8" i="10"/>
  <c r="IT8" i="10"/>
  <c r="IU8" i="10"/>
  <c r="IV8" i="10"/>
  <c r="A7" i="10"/>
  <c r="B7" i="10"/>
  <c r="C7" i="10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S7" i="10"/>
  <c r="T7" i="10"/>
  <c r="U7" i="10"/>
  <c r="V7" i="10"/>
  <c r="W7" i="10"/>
  <c r="X7" i="10"/>
  <c r="Y7" i="10"/>
  <c r="Z7" i="10"/>
  <c r="AA7" i="10"/>
  <c r="AB7" i="10"/>
  <c r="AC7" i="10"/>
  <c r="AD7" i="10"/>
  <c r="AE7" i="10"/>
  <c r="AF7" i="10"/>
  <c r="AG7" i="10"/>
  <c r="AH7" i="10"/>
  <c r="AI7" i="10"/>
  <c r="AJ7" i="10"/>
  <c r="AK7" i="10"/>
  <c r="AL7" i="10"/>
  <c r="AM7" i="10"/>
  <c r="AN7" i="10"/>
  <c r="AO7" i="10"/>
  <c r="AP7" i="10"/>
  <c r="AQ7" i="10"/>
  <c r="AR7" i="10"/>
  <c r="AS7" i="10"/>
  <c r="AT7" i="10"/>
  <c r="AU7" i="10"/>
  <c r="AV7" i="10"/>
  <c r="AW7" i="10"/>
  <c r="AX7" i="10"/>
  <c r="AY7" i="10"/>
  <c r="AZ7" i="10"/>
  <c r="BA7" i="10"/>
  <c r="BB7" i="10"/>
  <c r="BC7" i="10"/>
  <c r="BD7" i="10"/>
  <c r="BE7" i="10"/>
  <c r="BF7" i="10"/>
  <c r="BG7" i="10"/>
  <c r="BH7" i="10"/>
  <c r="BI7" i="10"/>
  <c r="BJ7" i="10"/>
  <c r="BK7" i="10"/>
  <c r="BL7" i="10"/>
  <c r="BM7" i="10"/>
  <c r="BN7" i="10"/>
  <c r="BO7" i="10"/>
  <c r="BP7" i="10"/>
  <c r="BQ7" i="10"/>
  <c r="BR7" i="10"/>
  <c r="BS7" i="10"/>
  <c r="BT7" i="10"/>
  <c r="BU7" i="10"/>
  <c r="BV7" i="10"/>
  <c r="BW7" i="10"/>
  <c r="BX7" i="10"/>
  <c r="BY7" i="10"/>
  <c r="BZ7" i="10"/>
  <c r="CA7" i="10"/>
  <c r="CB7" i="10"/>
  <c r="CC7" i="10"/>
  <c r="CD7" i="10"/>
  <c r="CE7" i="10"/>
  <c r="CF7" i="10"/>
  <c r="CG7" i="10"/>
  <c r="CH7" i="10"/>
  <c r="CI7" i="10"/>
  <c r="CJ7" i="10"/>
  <c r="CK7" i="10"/>
  <c r="CL7" i="10"/>
  <c r="CM7" i="10"/>
  <c r="CN7" i="10"/>
  <c r="CO7" i="10"/>
  <c r="CP7" i="10"/>
  <c r="CQ7" i="10"/>
  <c r="CR7" i="10"/>
  <c r="CS7" i="10"/>
  <c r="CT7" i="10"/>
  <c r="CU7" i="10"/>
  <c r="CV7" i="10"/>
  <c r="CW7" i="10"/>
  <c r="CX7" i="10"/>
  <c r="CY7" i="10"/>
  <c r="CZ7" i="10"/>
  <c r="DA7" i="10"/>
  <c r="DB7" i="10"/>
  <c r="DC7" i="10"/>
  <c r="DD7" i="10"/>
  <c r="DE7" i="10"/>
  <c r="DF7" i="10"/>
  <c r="DG7" i="10"/>
  <c r="DH7" i="10"/>
  <c r="DI7" i="10"/>
  <c r="DJ7" i="10"/>
  <c r="DK7" i="10"/>
  <c r="DL7" i="10"/>
  <c r="DM7" i="10"/>
  <c r="DN7" i="10"/>
  <c r="DO7" i="10"/>
  <c r="DP7" i="10"/>
  <c r="DQ7" i="10"/>
  <c r="DR7" i="10"/>
  <c r="DS7" i="10"/>
  <c r="DT7" i="10"/>
  <c r="DU7" i="10"/>
  <c r="DV7" i="10"/>
  <c r="DW7" i="10"/>
  <c r="DX7" i="10"/>
  <c r="DY7" i="10"/>
  <c r="DZ7" i="10"/>
  <c r="EA7" i="10"/>
  <c r="EB7" i="10"/>
  <c r="EC7" i="10"/>
  <c r="ED7" i="10"/>
  <c r="EE7" i="10"/>
  <c r="EF7" i="10"/>
  <c r="EG7" i="10"/>
  <c r="EH7" i="10"/>
  <c r="EI7" i="10"/>
  <c r="EJ7" i="10"/>
  <c r="EK7" i="10"/>
  <c r="EL7" i="10"/>
  <c r="EM7" i="10"/>
  <c r="EN7" i="10"/>
  <c r="EO7" i="10"/>
  <c r="EP7" i="10"/>
  <c r="EQ7" i="10"/>
  <c r="ER7" i="10"/>
  <c r="ES7" i="10"/>
  <c r="ET7" i="10"/>
  <c r="EU7" i="10"/>
  <c r="EV7" i="10"/>
  <c r="EW7" i="10"/>
  <c r="EX7" i="10"/>
  <c r="EY7" i="10"/>
  <c r="EZ7" i="10"/>
  <c r="FA7" i="10"/>
  <c r="FB7" i="10"/>
  <c r="FC7" i="10"/>
  <c r="FD7" i="10"/>
  <c r="FE7" i="10"/>
  <c r="FF7" i="10"/>
  <c r="FG7" i="10"/>
  <c r="FH7" i="10"/>
  <c r="FI7" i="10"/>
  <c r="FJ7" i="10"/>
  <c r="FK7" i="10"/>
  <c r="FL7" i="10"/>
  <c r="FM7" i="10"/>
  <c r="FN7" i="10"/>
  <c r="FO7" i="10"/>
  <c r="FP7" i="10"/>
  <c r="FQ7" i="10"/>
  <c r="FR7" i="10"/>
  <c r="FS7" i="10"/>
  <c r="FT7" i="10"/>
  <c r="FU7" i="10"/>
  <c r="FV7" i="10"/>
  <c r="FW7" i="10"/>
  <c r="FX7" i="10"/>
  <c r="FY7" i="10"/>
  <c r="FZ7" i="10"/>
  <c r="GA7" i="10"/>
  <c r="GB7" i="10"/>
  <c r="GC7" i="10"/>
  <c r="GD7" i="10"/>
  <c r="GE7" i="10"/>
  <c r="GF7" i="10"/>
  <c r="GG7" i="10"/>
  <c r="GH7" i="10"/>
  <c r="GI7" i="10"/>
  <c r="GJ7" i="10"/>
  <c r="GK7" i="10"/>
  <c r="GL7" i="10"/>
  <c r="GM7" i="10"/>
  <c r="GN7" i="10"/>
  <c r="GO7" i="10"/>
  <c r="GP7" i="10"/>
  <c r="GQ7" i="10"/>
  <c r="GR7" i="10"/>
  <c r="GS7" i="10"/>
  <c r="GT7" i="10"/>
  <c r="GU7" i="10"/>
  <c r="GV7" i="10"/>
  <c r="GW7" i="10"/>
  <c r="GX7" i="10"/>
  <c r="GY7" i="10"/>
  <c r="GZ7" i="10"/>
  <c r="HA7" i="10"/>
  <c r="HB7" i="10"/>
  <c r="HC7" i="10"/>
  <c r="HD7" i="10"/>
  <c r="HE7" i="10"/>
  <c r="HF7" i="10"/>
  <c r="HG7" i="10"/>
  <c r="HH7" i="10"/>
  <c r="HI7" i="10"/>
  <c r="HJ7" i="10"/>
  <c r="HK7" i="10"/>
  <c r="HL7" i="10"/>
  <c r="HM7" i="10"/>
  <c r="HN7" i="10"/>
  <c r="HO7" i="10"/>
  <c r="HP7" i="10"/>
  <c r="HQ7" i="10"/>
  <c r="HR7" i="10"/>
  <c r="HS7" i="10"/>
  <c r="HT7" i="10"/>
  <c r="HU7" i="10"/>
  <c r="HV7" i="10"/>
  <c r="HW7" i="10"/>
  <c r="HX7" i="10"/>
  <c r="HY7" i="10"/>
  <c r="HZ7" i="10"/>
  <c r="IA7" i="10"/>
  <c r="IB7" i="10"/>
  <c r="IC7" i="10"/>
  <c r="ID7" i="10"/>
  <c r="IE7" i="10"/>
  <c r="IF7" i="10"/>
  <c r="IG7" i="10"/>
  <c r="IH7" i="10"/>
  <c r="II7" i="10"/>
  <c r="IJ7" i="10"/>
  <c r="IK7" i="10"/>
  <c r="IL7" i="10"/>
  <c r="IM7" i="10"/>
  <c r="IN7" i="10"/>
  <c r="IO7" i="10"/>
  <c r="IP7" i="10"/>
  <c r="IQ7" i="10"/>
  <c r="IR7" i="10"/>
  <c r="IS7" i="10"/>
  <c r="IT7" i="10"/>
  <c r="IU7" i="10"/>
  <c r="IV7" i="10"/>
  <c r="A6" i="10"/>
  <c r="B6" i="10"/>
  <c r="C6" i="10"/>
  <c r="D6" i="10"/>
  <c r="E6" i="10"/>
  <c r="F6" i="10"/>
  <c r="G6" i="10"/>
  <c r="H6" i="10"/>
  <c r="I6" i="10"/>
  <c r="J6" i="10"/>
  <c r="K6" i="10"/>
  <c r="L6" i="10"/>
  <c r="M6" i="10"/>
  <c r="N6" i="10"/>
  <c r="O6" i="10"/>
  <c r="P6" i="10"/>
  <c r="Q6" i="10"/>
  <c r="R6" i="10"/>
  <c r="S6" i="10"/>
  <c r="T6" i="10"/>
  <c r="U6" i="10"/>
  <c r="V6" i="10"/>
  <c r="W6" i="10"/>
  <c r="X6" i="10"/>
  <c r="Y6" i="10"/>
  <c r="Z6" i="10"/>
  <c r="AA6" i="10"/>
  <c r="AB6" i="10"/>
  <c r="AC6" i="10"/>
  <c r="AD6" i="10"/>
  <c r="AE6" i="10"/>
  <c r="AF6" i="10"/>
  <c r="AG6" i="10"/>
  <c r="AH6" i="10"/>
  <c r="AI6" i="10"/>
  <c r="AJ6" i="10"/>
  <c r="AK6" i="10"/>
  <c r="AL6" i="10"/>
  <c r="AM6" i="10"/>
  <c r="AN6" i="10"/>
  <c r="AO6" i="10"/>
  <c r="AP6" i="10"/>
  <c r="AQ6" i="10"/>
  <c r="AR6" i="10"/>
  <c r="AS6" i="10"/>
  <c r="AT6" i="10"/>
  <c r="AU6" i="10"/>
  <c r="AV6" i="10"/>
  <c r="AW6" i="10"/>
  <c r="AX6" i="10"/>
  <c r="AY6" i="10"/>
  <c r="AZ6" i="10"/>
  <c r="BA6" i="10"/>
  <c r="BB6" i="10"/>
  <c r="BC6" i="10"/>
  <c r="BD6" i="10"/>
  <c r="BE6" i="10"/>
  <c r="BF6" i="10"/>
  <c r="BG6" i="10"/>
  <c r="BH6" i="10"/>
  <c r="BI6" i="10"/>
  <c r="BJ6" i="10"/>
  <c r="BK6" i="10"/>
  <c r="BL6" i="10"/>
  <c r="BM6" i="10"/>
  <c r="BN6" i="10"/>
  <c r="BO6" i="10"/>
  <c r="BP6" i="10"/>
  <c r="BQ6" i="10"/>
  <c r="BR6" i="10"/>
  <c r="BS6" i="10"/>
  <c r="BT6" i="10"/>
  <c r="BU6" i="10"/>
  <c r="BV6" i="10"/>
  <c r="BW6" i="10"/>
  <c r="BX6" i="10"/>
  <c r="BY6" i="10"/>
  <c r="BZ6" i="10"/>
  <c r="CA6" i="10"/>
  <c r="CB6" i="10"/>
  <c r="CC6" i="10"/>
  <c r="CD6" i="10"/>
  <c r="CE6" i="10"/>
  <c r="CF6" i="10"/>
  <c r="CG6" i="10"/>
  <c r="CH6" i="10"/>
  <c r="CI6" i="10"/>
  <c r="CJ6" i="10"/>
  <c r="CK6" i="10"/>
  <c r="CL6" i="10"/>
  <c r="CM6" i="10"/>
  <c r="CN6" i="10"/>
  <c r="CO6" i="10"/>
  <c r="CP6" i="10"/>
  <c r="CQ6" i="10"/>
  <c r="CR6" i="10"/>
  <c r="CS6" i="10"/>
  <c r="CT6" i="10"/>
  <c r="CU6" i="10"/>
  <c r="CV6" i="10"/>
  <c r="CW6" i="10"/>
  <c r="CX6" i="10"/>
  <c r="CY6" i="10"/>
  <c r="CZ6" i="10"/>
  <c r="DA6" i="10"/>
  <c r="DB6" i="10"/>
  <c r="DC6" i="10"/>
  <c r="DD6" i="10"/>
  <c r="DE6" i="10"/>
  <c r="DF6" i="10"/>
  <c r="DG6" i="10"/>
  <c r="DH6" i="10"/>
  <c r="DI6" i="10"/>
  <c r="DJ6" i="10"/>
  <c r="DK6" i="10"/>
  <c r="DL6" i="10"/>
  <c r="DM6" i="10"/>
  <c r="DN6" i="10"/>
  <c r="DO6" i="10"/>
  <c r="DP6" i="10"/>
  <c r="DQ6" i="10"/>
  <c r="DR6" i="10"/>
  <c r="DS6" i="10"/>
  <c r="DT6" i="10"/>
  <c r="DU6" i="10"/>
  <c r="DV6" i="10"/>
  <c r="DW6" i="10"/>
  <c r="DX6" i="10"/>
  <c r="DY6" i="10"/>
  <c r="DZ6" i="10"/>
  <c r="EA6" i="10"/>
  <c r="EB6" i="10"/>
  <c r="EC6" i="10"/>
  <c r="ED6" i="10"/>
  <c r="EE6" i="10"/>
  <c r="EF6" i="10"/>
  <c r="EG6" i="10"/>
  <c r="EH6" i="10"/>
  <c r="EI6" i="10"/>
  <c r="EJ6" i="10"/>
  <c r="EK6" i="10"/>
  <c r="EL6" i="10"/>
  <c r="EM6" i="10"/>
  <c r="EN6" i="10"/>
  <c r="EO6" i="10"/>
  <c r="EP6" i="10"/>
  <c r="EQ6" i="10"/>
  <c r="ER6" i="10"/>
  <c r="ES6" i="10"/>
  <c r="ET6" i="10"/>
  <c r="EU6" i="10"/>
  <c r="EV6" i="10"/>
  <c r="EW6" i="10"/>
  <c r="EX6" i="10"/>
  <c r="EY6" i="10"/>
  <c r="EZ6" i="10"/>
  <c r="FA6" i="10"/>
  <c r="FB6" i="10"/>
  <c r="FC6" i="10"/>
  <c r="FD6" i="10"/>
  <c r="FE6" i="10"/>
  <c r="FF6" i="10"/>
  <c r="FG6" i="10"/>
  <c r="FH6" i="10"/>
  <c r="FI6" i="10"/>
  <c r="FJ6" i="10"/>
  <c r="FK6" i="10"/>
  <c r="FL6" i="10"/>
  <c r="FM6" i="10"/>
  <c r="FN6" i="10"/>
  <c r="FO6" i="10"/>
  <c r="FP6" i="10"/>
  <c r="FQ6" i="10"/>
  <c r="FR6" i="10"/>
  <c r="FS6" i="10"/>
  <c r="FT6" i="10"/>
  <c r="FU6" i="10"/>
  <c r="FV6" i="10"/>
  <c r="FW6" i="10"/>
  <c r="FX6" i="10"/>
  <c r="FY6" i="10"/>
  <c r="FZ6" i="10"/>
  <c r="GA6" i="10"/>
  <c r="GB6" i="10"/>
  <c r="GC6" i="10"/>
  <c r="GD6" i="10"/>
  <c r="GE6" i="10"/>
  <c r="GF6" i="10"/>
  <c r="GG6" i="10"/>
  <c r="GH6" i="10"/>
  <c r="GI6" i="10"/>
  <c r="GJ6" i="10"/>
  <c r="GK6" i="10"/>
  <c r="GL6" i="10"/>
  <c r="GM6" i="10"/>
  <c r="GN6" i="10"/>
  <c r="GO6" i="10"/>
  <c r="GP6" i="10"/>
  <c r="GQ6" i="10"/>
  <c r="GR6" i="10"/>
  <c r="GS6" i="10"/>
  <c r="GT6" i="10"/>
  <c r="GU6" i="10"/>
  <c r="GV6" i="10"/>
  <c r="GW6" i="10"/>
  <c r="GX6" i="10"/>
  <c r="GY6" i="10"/>
  <c r="GZ6" i="10"/>
  <c r="HA6" i="10"/>
  <c r="HB6" i="10"/>
  <c r="HC6" i="10"/>
  <c r="HD6" i="10"/>
  <c r="HE6" i="10"/>
  <c r="HF6" i="10"/>
  <c r="HG6" i="10"/>
  <c r="HH6" i="10"/>
  <c r="HI6" i="10"/>
  <c r="HJ6" i="10"/>
  <c r="HK6" i="10"/>
  <c r="HL6" i="10"/>
  <c r="HM6" i="10"/>
  <c r="HN6" i="10"/>
  <c r="HO6" i="10"/>
  <c r="HP6" i="10"/>
  <c r="HQ6" i="10"/>
  <c r="HR6" i="10"/>
  <c r="HS6" i="10"/>
  <c r="HT6" i="10"/>
  <c r="HU6" i="10"/>
  <c r="HV6" i="10"/>
  <c r="HW6" i="10"/>
  <c r="HX6" i="10"/>
  <c r="HY6" i="10"/>
  <c r="HZ6" i="10"/>
  <c r="IA6" i="10"/>
  <c r="IB6" i="10"/>
  <c r="IC6" i="10"/>
  <c r="ID6" i="10"/>
  <c r="IE6" i="10"/>
  <c r="IF6" i="10"/>
  <c r="IG6" i="10"/>
  <c r="IH6" i="10"/>
  <c r="II6" i="10"/>
  <c r="IJ6" i="10"/>
  <c r="IK6" i="10"/>
  <c r="IL6" i="10"/>
  <c r="IM6" i="10"/>
  <c r="IN6" i="10"/>
  <c r="IO6" i="10"/>
  <c r="IP6" i="10"/>
  <c r="IQ6" i="10"/>
  <c r="IR6" i="10"/>
  <c r="IS6" i="10"/>
  <c r="IT6" i="10"/>
  <c r="IU6" i="10"/>
  <c r="IV6" i="10"/>
  <c r="A5" i="10"/>
  <c r="B5" i="10"/>
  <c r="C5" i="10"/>
  <c r="D5" i="10"/>
  <c r="E5" i="10"/>
  <c r="F5" i="10"/>
  <c r="G5" i="10"/>
  <c r="H5" i="10"/>
  <c r="I5" i="10"/>
  <c r="J5" i="10"/>
  <c r="K5" i="10"/>
  <c r="L5" i="10"/>
  <c r="M5" i="10"/>
  <c r="N5" i="10"/>
  <c r="O5" i="10"/>
  <c r="P5" i="10"/>
  <c r="Q5" i="10"/>
  <c r="R5" i="10"/>
  <c r="S5" i="10"/>
  <c r="T5" i="10"/>
  <c r="U5" i="10"/>
  <c r="V5" i="10"/>
  <c r="W5" i="10"/>
  <c r="X5" i="10"/>
  <c r="Y5" i="10"/>
  <c r="Z5" i="10"/>
  <c r="AA5" i="10"/>
  <c r="AB5" i="10"/>
  <c r="AC5" i="10"/>
  <c r="AD5" i="10"/>
  <c r="AE5" i="10"/>
  <c r="AF5" i="10"/>
  <c r="AG5" i="10"/>
  <c r="AH5" i="10"/>
  <c r="AI5" i="10"/>
  <c r="AJ5" i="10"/>
  <c r="AK5" i="10"/>
  <c r="AL5" i="10"/>
  <c r="AM5" i="10"/>
  <c r="AN5" i="10"/>
  <c r="AO5" i="10"/>
  <c r="AP5" i="10"/>
  <c r="AQ5" i="10"/>
  <c r="AR5" i="10"/>
  <c r="AS5" i="10"/>
  <c r="AT5" i="10"/>
  <c r="AU5" i="10"/>
  <c r="AV5" i="10"/>
  <c r="AW5" i="10"/>
  <c r="AX5" i="10"/>
  <c r="AY5" i="10"/>
  <c r="AZ5" i="10"/>
  <c r="BA5" i="10"/>
  <c r="BB5" i="10"/>
  <c r="BC5" i="10"/>
  <c r="BD5" i="10"/>
  <c r="BE5" i="10"/>
  <c r="BF5" i="10"/>
  <c r="BG5" i="10"/>
  <c r="BH5" i="10"/>
  <c r="BI5" i="10"/>
  <c r="BJ5" i="10"/>
  <c r="BK5" i="10"/>
  <c r="BL5" i="10"/>
  <c r="BM5" i="10"/>
  <c r="BN5" i="10"/>
  <c r="BO5" i="10"/>
  <c r="BP5" i="10"/>
  <c r="BQ5" i="10"/>
  <c r="BR5" i="10"/>
  <c r="BS5" i="10"/>
  <c r="BT5" i="10"/>
  <c r="BU5" i="10"/>
  <c r="BV5" i="10"/>
  <c r="BW5" i="10"/>
  <c r="BX5" i="10"/>
  <c r="BY5" i="10"/>
  <c r="BZ5" i="10"/>
  <c r="CA5" i="10"/>
  <c r="CB5" i="10"/>
  <c r="CC5" i="10"/>
  <c r="CD5" i="10"/>
  <c r="CE5" i="10"/>
  <c r="CF5" i="10"/>
  <c r="CG5" i="10"/>
  <c r="CH5" i="10"/>
  <c r="CI5" i="10"/>
  <c r="CJ5" i="10"/>
  <c r="CK5" i="10"/>
  <c r="CL5" i="10"/>
  <c r="CM5" i="10"/>
  <c r="CN5" i="10"/>
  <c r="CO5" i="10"/>
  <c r="CP5" i="10"/>
  <c r="CQ5" i="10"/>
  <c r="CR5" i="10"/>
  <c r="CS5" i="10"/>
  <c r="CT5" i="10"/>
  <c r="CU5" i="10"/>
  <c r="CV5" i="10"/>
  <c r="CW5" i="10"/>
  <c r="CX5" i="10"/>
  <c r="CY5" i="10"/>
  <c r="CZ5" i="10"/>
  <c r="DA5" i="10"/>
  <c r="DB5" i="10"/>
  <c r="DC5" i="10"/>
  <c r="DD5" i="10"/>
  <c r="DE5" i="10"/>
  <c r="DF5" i="10"/>
  <c r="DG5" i="10"/>
  <c r="DH5" i="10"/>
  <c r="DI5" i="10"/>
  <c r="DJ5" i="10"/>
  <c r="DK5" i="10"/>
  <c r="DL5" i="10"/>
  <c r="DM5" i="10"/>
  <c r="DN5" i="10"/>
  <c r="DO5" i="10"/>
  <c r="DP5" i="10"/>
  <c r="DQ5" i="10"/>
  <c r="DR5" i="10"/>
  <c r="DS5" i="10"/>
  <c r="DT5" i="10"/>
  <c r="DU5" i="10"/>
  <c r="DV5" i="10"/>
  <c r="DW5" i="10"/>
  <c r="DX5" i="10"/>
  <c r="DY5" i="10"/>
  <c r="DZ5" i="10"/>
  <c r="EA5" i="10"/>
  <c r="EB5" i="10"/>
  <c r="EC5" i="10"/>
  <c r="ED5" i="10"/>
  <c r="EE5" i="10"/>
  <c r="EF5" i="10"/>
  <c r="EG5" i="10"/>
  <c r="EH5" i="10"/>
  <c r="EI5" i="10"/>
  <c r="EJ5" i="10"/>
  <c r="EK5" i="10"/>
  <c r="EL5" i="10"/>
  <c r="EM5" i="10"/>
  <c r="EN5" i="10"/>
  <c r="EO5" i="10"/>
  <c r="EP5" i="10"/>
  <c r="EQ5" i="10"/>
  <c r="ER5" i="10"/>
  <c r="ES5" i="10"/>
  <c r="ET5" i="10"/>
  <c r="EU5" i="10"/>
  <c r="EV5" i="10"/>
  <c r="EW5" i="10"/>
  <c r="EX5" i="10"/>
  <c r="EY5" i="10"/>
  <c r="EZ5" i="10"/>
  <c r="FA5" i="10"/>
  <c r="FB5" i="10"/>
  <c r="FC5" i="10"/>
  <c r="FD5" i="10"/>
  <c r="FE5" i="10"/>
  <c r="FF5" i="10"/>
  <c r="FG5" i="10"/>
  <c r="FH5" i="10"/>
  <c r="FI5" i="10"/>
  <c r="FJ5" i="10"/>
  <c r="FK5" i="10"/>
  <c r="FL5" i="10"/>
  <c r="FM5" i="10"/>
  <c r="FN5" i="10"/>
  <c r="FO5" i="10"/>
  <c r="FP5" i="10"/>
  <c r="FQ5" i="10"/>
  <c r="FR5" i="10"/>
  <c r="FS5" i="10"/>
  <c r="FT5" i="10"/>
  <c r="FU5" i="10"/>
  <c r="FV5" i="10"/>
  <c r="FW5" i="10"/>
  <c r="FX5" i="10"/>
  <c r="FY5" i="10"/>
  <c r="FZ5" i="10"/>
  <c r="GA5" i="10"/>
  <c r="GB5" i="10"/>
  <c r="GC5" i="10"/>
  <c r="GD5" i="10"/>
  <c r="GE5" i="10"/>
  <c r="GF5" i="10"/>
  <c r="GG5" i="10"/>
  <c r="GH5" i="10"/>
  <c r="GI5" i="10"/>
  <c r="GJ5" i="10"/>
  <c r="GK5" i="10"/>
  <c r="GL5" i="10"/>
  <c r="GM5" i="10"/>
  <c r="GN5" i="10"/>
  <c r="GO5" i="10"/>
  <c r="GP5" i="10"/>
  <c r="GQ5" i="10"/>
  <c r="GR5" i="10"/>
  <c r="GS5" i="10"/>
  <c r="GT5" i="10"/>
  <c r="GU5" i="10"/>
  <c r="GV5" i="10"/>
  <c r="GW5" i="10"/>
  <c r="GX5" i="10"/>
  <c r="GY5" i="10"/>
  <c r="GZ5" i="10"/>
  <c r="HA5" i="10"/>
  <c r="HB5" i="10"/>
  <c r="HC5" i="10"/>
  <c r="HD5" i="10"/>
  <c r="HE5" i="10"/>
  <c r="HF5" i="10"/>
  <c r="HG5" i="10"/>
  <c r="HH5" i="10"/>
  <c r="HI5" i="10"/>
  <c r="HJ5" i="10"/>
  <c r="HK5" i="10"/>
  <c r="HL5" i="10"/>
  <c r="HM5" i="10"/>
  <c r="HN5" i="10"/>
  <c r="HO5" i="10"/>
  <c r="HP5" i="10"/>
  <c r="HQ5" i="10"/>
  <c r="HR5" i="10"/>
  <c r="HS5" i="10"/>
  <c r="HT5" i="10"/>
  <c r="HU5" i="10"/>
  <c r="HV5" i="10"/>
  <c r="HW5" i="10"/>
  <c r="HX5" i="10"/>
  <c r="HY5" i="10"/>
  <c r="HZ5" i="10"/>
  <c r="IA5" i="10"/>
  <c r="IB5" i="10"/>
  <c r="IC5" i="10"/>
  <c r="ID5" i="10"/>
  <c r="IE5" i="10"/>
  <c r="IF5" i="10"/>
  <c r="IG5" i="10"/>
  <c r="IH5" i="10"/>
  <c r="II5" i="10"/>
  <c r="IJ5" i="10"/>
  <c r="IK5" i="10"/>
  <c r="IL5" i="10"/>
  <c r="IM5" i="10"/>
  <c r="IN5" i="10"/>
  <c r="IO5" i="10"/>
  <c r="IP5" i="10"/>
  <c r="IQ5" i="10"/>
  <c r="IR5" i="10"/>
  <c r="IS5" i="10"/>
  <c r="IT5" i="10"/>
  <c r="IU5" i="10"/>
  <c r="IV5" i="10"/>
  <c r="A4" i="10"/>
  <c r="B4" i="10"/>
  <c r="C4" i="10"/>
  <c r="D4" i="10"/>
  <c r="E4" i="10"/>
  <c r="F4" i="10"/>
  <c r="G4" i="10"/>
  <c r="H4" i="10"/>
  <c r="I4" i="10"/>
  <c r="J4" i="10"/>
  <c r="K4" i="10"/>
  <c r="L4" i="10"/>
  <c r="M4" i="10"/>
  <c r="N4" i="10"/>
  <c r="O4" i="10"/>
  <c r="P4" i="10"/>
  <c r="Q4" i="10"/>
  <c r="R4" i="10"/>
  <c r="S4" i="10"/>
  <c r="T4" i="10"/>
  <c r="U4" i="10"/>
  <c r="V4" i="10"/>
  <c r="W4" i="10"/>
  <c r="X4" i="10"/>
  <c r="Y4" i="10"/>
  <c r="Z4" i="10"/>
  <c r="AA4" i="10"/>
  <c r="AB4" i="10"/>
  <c r="AC4" i="10"/>
  <c r="AD4" i="10"/>
  <c r="AE4" i="10"/>
  <c r="AF4" i="10"/>
  <c r="AG4" i="10"/>
  <c r="AH4" i="10"/>
  <c r="AI4" i="10"/>
  <c r="AJ4" i="10"/>
  <c r="AK4" i="10"/>
  <c r="AL4" i="10"/>
  <c r="AM4" i="10"/>
  <c r="AN4" i="10"/>
  <c r="AO4" i="10"/>
  <c r="AP4" i="10"/>
  <c r="AQ4" i="10"/>
  <c r="AR4" i="10"/>
  <c r="AS4" i="10"/>
  <c r="AT4" i="10"/>
  <c r="AU4" i="10"/>
  <c r="AV4" i="10"/>
  <c r="AW4" i="10"/>
  <c r="AX4" i="10"/>
  <c r="AY4" i="10"/>
  <c r="AZ4" i="10"/>
  <c r="BA4" i="10"/>
  <c r="BB4" i="10"/>
  <c r="BC4" i="10"/>
  <c r="BD4" i="10"/>
  <c r="BE4" i="10"/>
  <c r="BF4" i="10"/>
  <c r="BG4" i="10"/>
  <c r="BH4" i="10"/>
  <c r="BI4" i="10"/>
  <c r="BJ4" i="10"/>
  <c r="BK4" i="10"/>
  <c r="BL4" i="10"/>
  <c r="BM4" i="10"/>
  <c r="BN4" i="10"/>
  <c r="BO4" i="10"/>
  <c r="BP4" i="10"/>
  <c r="BQ4" i="10"/>
  <c r="BR4" i="10"/>
  <c r="BS4" i="10"/>
  <c r="BT4" i="10"/>
  <c r="BU4" i="10"/>
  <c r="BV4" i="10"/>
  <c r="BW4" i="10"/>
  <c r="BX4" i="10"/>
  <c r="BY4" i="10"/>
  <c r="BZ4" i="10"/>
  <c r="CA4" i="10"/>
  <c r="CB4" i="10"/>
  <c r="CC4" i="10"/>
  <c r="CD4" i="10"/>
  <c r="CE4" i="10"/>
  <c r="CF4" i="10"/>
  <c r="CG4" i="10"/>
  <c r="CH4" i="10"/>
  <c r="CI4" i="10"/>
  <c r="CJ4" i="10"/>
  <c r="CK4" i="10"/>
  <c r="CL4" i="10"/>
  <c r="CM4" i="10"/>
  <c r="CN4" i="10"/>
  <c r="CO4" i="10"/>
  <c r="CP4" i="10"/>
  <c r="CQ4" i="10"/>
  <c r="CR4" i="10"/>
  <c r="CS4" i="10"/>
  <c r="CT4" i="10"/>
  <c r="CU4" i="10"/>
  <c r="CV4" i="10"/>
  <c r="CW4" i="10"/>
  <c r="CX4" i="10"/>
  <c r="CY4" i="10"/>
  <c r="CZ4" i="10"/>
  <c r="DA4" i="10"/>
  <c r="DB4" i="10"/>
  <c r="DC4" i="10"/>
  <c r="DD4" i="10"/>
  <c r="DE4" i="10"/>
  <c r="DF4" i="10"/>
  <c r="DG4" i="10"/>
  <c r="DH4" i="10"/>
  <c r="DI4" i="10"/>
  <c r="DJ4" i="10"/>
  <c r="DK4" i="10"/>
  <c r="DL4" i="10"/>
  <c r="DM4" i="10"/>
  <c r="DN4" i="10"/>
  <c r="DO4" i="10"/>
  <c r="DP4" i="10"/>
  <c r="DQ4" i="10"/>
  <c r="DR4" i="10"/>
  <c r="DS4" i="10"/>
  <c r="DT4" i="10"/>
  <c r="DU4" i="10"/>
  <c r="DV4" i="10"/>
  <c r="DW4" i="10"/>
  <c r="DX4" i="10"/>
  <c r="DY4" i="10"/>
  <c r="DZ4" i="10"/>
  <c r="EA4" i="10"/>
  <c r="EB4" i="10"/>
  <c r="EC4" i="10"/>
  <c r="ED4" i="10"/>
  <c r="EE4" i="10"/>
  <c r="EF4" i="10"/>
  <c r="EG4" i="10"/>
  <c r="EH4" i="10"/>
  <c r="EI4" i="10"/>
  <c r="EJ4" i="10"/>
  <c r="EK4" i="10"/>
  <c r="EL4" i="10"/>
  <c r="EM4" i="10"/>
  <c r="EN4" i="10"/>
  <c r="EO4" i="10"/>
  <c r="EP4" i="10"/>
  <c r="EQ4" i="10"/>
  <c r="ER4" i="10"/>
  <c r="ES4" i="10"/>
  <c r="ET4" i="10"/>
  <c r="EU4" i="10"/>
  <c r="EV4" i="10"/>
  <c r="EW4" i="10"/>
  <c r="EX4" i="10"/>
  <c r="EY4" i="10"/>
  <c r="EZ4" i="10"/>
  <c r="FA4" i="10"/>
  <c r="FB4" i="10"/>
  <c r="FC4" i="10"/>
  <c r="FD4" i="10"/>
  <c r="FE4" i="10"/>
  <c r="FF4" i="10"/>
  <c r="FG4" i="10"/>
  <c r="FH4" i="10"/>
  <c r="FI4" i="10"/>
  <c r="FJ4" i="10"/>
  <c r="FK4" i="10"/>
  <c r="FL4" i="10"/>
  <c r="FM4" i="10"/>
  <c r="FN4" i="10"/>
  <c r="FO4" i="10"/>
  <c r="FP4" i="10"/>
  <c r="FQ4" i="10"/>
  <c r="FR4" i="10"/>
  <c r="FS4" i="10"/>
  <c r="FT4" i="10"/>
  <c r="FU4" i="10"/>
  <c r="FV4" i="10"/>
  <c r="FW4" i="10"/>
  <c r="FX4" i="10"/>
  <c r="FY4" i="10"/>
  <c r="FZ4" i="10"/>
  <c r="GA4" i="10"/>
  <c r="GB4" i="10"/>
  <c r="GC4" i="10"/>
  <c r="GD4" i="10"/>
  <c r="GE4" i="10"/>
  <c r="GF4" i="10"/>
  <c r="GG4" i="10"/>
  <c r="GH4" i="10"/>
  <c r="GI4" i="10"/>
  <c r="GJ4" i="10"/>
  <c r="GK4" i="10"/>
  <c r="GL4" i="10"/>
  <c r="GM4" i="10"/>
  <c r="GN4" i="10"/>
  <c r="GO4" i="10"/>
  <c r="GP4" i="10"/>
  <c r="GQ4" i="10"/>
  <c r="GR4" i="10"/>
  <c r="GS4" i="10"/>
  <c r="GT4" i="10"/>
  <c r="GU4" i="10"/>
  <c r="GV4" i="10"/>
  <c r="GW4" i="10"/>
  <c r="GX4" i="10"/>
  <c r="GY4" i="10"/>
  <c r="GZ4" i="10"/>
  <c r="HA4" i="10"/>
  <c r="HB4" i="10"/>
  <c r="HC4" i="10"/>
  <c r="HD4" i="10"/>
  <c r="HE4" i="10"/>
  <c r="HF4" i="10"/>
  <c r="HG4" i="10"/>
  <c r="HH4" i="10"/>
  <c r="HI4" i="10"/>
  <c r="HJ4" i="10"/>
  <c r="HK4" i="10"/>
  <c r="HL4" i="10"/>
  <c r="HM4" i="10"/>
  <c r="HN4" i="10"/>
  <c r="HO4" i="10"/>
  <c r="HP4" i="10"/>
  <c r="HQ4" i="10"/>
  <c r="HR4" i="10"/>
  <c r="HS4" i="10"/>
  <c r="HT4" i="10"/>
  <c r="HU4" i="10"/>
  <c r="HV4" i="10"/>
  <c r="HW4" i="10"/>
  <c r="HX4" i="10"/>
  <c r="HY4" i="10"/>
  <c r="HZ4" i="10"/>
  <c r="IA4" i="10"/>
  <c r="IB4" i="10"/>
  <c r="IC4" i="10"/>
  <c r="ID4" i="10"/>
  <c r="IE4" i="10"/>
  <c r="IF4" i="10"/>
  <c r="IG4" i="10"/>
  <c r="IH4" i="10"/>
  <c r="II4" i="10"/>
  <c r="IJ4" i="10"/>
  <c r="IK4" i="10"/>
  <c r="IL4" i="10"/>
  <c r="IM4" i="10"/>
  <c r="IN4" i="10"/>
  <c r="IO4" i="10"/>
  <c r="IP4" i="10"/>
  <c r="IQ4" i="10"/>
  <c r="IR4" i="10"/>
  <c r="IS4" i="10"/>
  <c r="IT4" i="10"/>
  <c r="IU4" i="10"/>
  <c r="IV4" i="10"/>
  <c r="A3" i="10"/>
  <c r="B3" i="10"/>
  <c r="C3" i="10"/>
  <c r="D3" i="10"/>
  <c r="E3" i="10"/>
  <c r="F3" i="10"/>
  <c r="G3" i="10"/>
  <c r="H3" i="10"/>
  <c r="I3" i="10"/>
  <c r="J3" i="10"/>
  <c r="K3" i="10"/>
  <c r="L3" i="10"/>
  <c r="M3" i="10"/>
  <c r="N3" i="10"/>
  <c r="O3" i="10"/>
  <c r="P3" i="10"/>
  <c r="Q3" i="10"/>
  <c r="R3" i="10"/>
  <c r="S3" i="10"/>
  <c r="T3" i="10"/>
  <c r="U3" i="10"/>
  <c r="V3" i="10"/>
  <c r="W3" i="10"/>
  <c r="X3" i="10"/>
  <c r="Y3" i="10"/>
  <c r="Z3" i="10"/>
  <c r="AA3" i="10"/>
  <c r="AB3" i="10"/>
  <c r="AC3" i="10"/>
  <c r="AD3" i="10"/>
  <c r="AE3" i="10"/>
  <c r="AF3" i="10"/>
  <c r="AG3" i="10"/>
  <c r="AH3" i="10"/>
  <c r="AI3" i="10"/>
  <c r="AJ3" i="10"/>
  <c r="AK3" i="10"/>
  <c r="AL3" i="10"/>
  <c r="AM3" i="10"/>
  <c r="AN3" i="10"/>
  <c r="AO3" i="10"/>
  <c r="AP3" i="10"/>
  <c r="AQ3" i="10"/>
  <c r="AR3" i="10"/>
  <c r="AS3" i="10"/>
  <c r="AT3" i="10"/>
  <c r="AU3" i="10"/>
  <c r="AV3" i="10"/>
  <c r="AW3" i="10"/>
  <c r="AX3" i="10"/>
  <c r="AY3" i="10"/>
  <c r="AZ3" i="10"/>
  <c r="BA3" i="10"/>
  <c r="BB3" i="10"/>
  <c r="BC3" i="10"/>
  <c r="BD3" i="10"/>
  <c r="BE3" i="10"/>
  <c r="BF3" i="10"/>
  <c r="BG3" i="10"/>
  <c r="BH3" i="10"/>
  <c r="BI3" i="10"/>
  <c r="BJ3" i="10"/>
  <c r="BK3" i="10"/>
  <c r="BL3" i="10"/>
  <c r="BM3" i="10"/>
  <c r="BN3" i="10"/>
  <c r="BO3" i="10"/>
  <c r="BP3" i="10"/>
  <c r="BQ3" i="10"/>
  <c r="BR3" i="10"/>
  <c r="BS3" i="10"/>
  <c r="BT3" i="10"/>
  <c r="BU3" i="10"/>
  <c r="BV3" i="10"/>
  <c r="BW3" i="10"/>
  <c r="BX3" i="10"/>
  <c r="BY3" i="10"/>
  <c r="BZ3" i="10"/>
  <c r="CA3" i="10"/>
  <c r="CB3" i="10"/>
  <c r="CC3" i="10"/>
  <c r="CD3" i="10"/>
  <c r="CE3" i="10"/>
  <c r="CF3" i="10"/>
  <c r="CG3" i="10"/>
  <c r="CH3" i="10"/>
  <c r="CI3" i="10"/>
  <c r="CJ3" i="10"/>
  <c r="CK3" i="10"/>
  <c r="CL3" i="10"/>
  <c r="CM3" i="10"/>
  <c r="CN3" i="10"/>
  <c r="CO3" i="10"/>
  <c r="CP3" i="10"/>
  <c r="CQ3" i="10"/>
  <c r="CR3" i="10"/>
  <c r="CS3" i="10"/>
  <c r="CT3" i="10"/>
  <c r="CU3" i="10"/>
  <c r="CV3" i="10"/>
  <c r="CW3" i="10"/>
  <c r="CX3" i="10"/>
  <c r="CY3" i="10"/>
  <c r="CZ3" i="10"/>
  <c r="DA3" i="10"/>
  <c r="DB3" i="10"/>
  <c r="DC3" i="10"/>
  <c r="DD3" i="10"/>
  <c r="DE3" i="10"/>
  <c r="DF3" i="10"/>
  <c r="DG3" i="10"/>
  <c r="DH3" i="10"/>
  <c r="DI3" i="10"/>
  <c r="DJ3" i="10"/>
  <c r="DK3" i="10"/>
  <c r="DL3" i="10"/>
  <c r="DM3" i="10"/>
  <c r="DN3" i="10"/>
  <c r="DO3" i="10"/>
  <c r="DP3" i="10"/>
  <c r="DQ3" i="10"/>
  <c r="DR3" i="10"/>
  <c r="DS3" i="10"/>
  <c r="DT3" i="10"/>
  <c r="DU3" i="10"/>
  <c r="DV3" i="10"/>
  <c r="DW3" i="10"/>
  <c r="DX3" i="10"/>
  <c r="DY3" i="10"/>
  <c r="DZ3" i="10"/>
  <c r="EA3" i="10"/>
  <c r="EB3" i="10"/>
  <c r="EC3" i="10"/>
  <c r="ED3" i="10"/>
  <c r="EE3" i="10"/>
  <c r="EF3" i="10"/>
  <c r="EG3" i="10"/>
  <c r="EH3" i="10"/>
  <c r="EI3" i="10"/>
  <c r="EJ3" i="10"/>
  <c r="EK3" i="10"/>
  <c r="EL3" i="10"/>
  <c r="EM3" i="10"/>
  <c r="EN3" i="10"/>
  <c r="EO3" i="10"/>
  <c r="EP3" i="10"/>
  <c r="EQ3" i="10"/>
  <c r="ER3" i="10"/>
  <c r="ES3" i="10"/>
  <c r="ET3" i="10"/>
  <c r="EU3" i="10"/>
  <c r="EV3" i="10"/>
  <c r="EW3" i="10"/>
  <c r="EX3" i="10"/>
  <c r="EY3" i="10"/>
  <c r="EZ3" i="10"/>
  <c r="FA3" i="10"/>
  <c r="FB3" i="10"/>
  <c r="FC3" i="10"/>
  <c r="FD3" i="10"/>
  <c r="FE3" i="10"/>
  <c r="FF3" i="10"/>
  <c r="FG3" i="10"/>
  <c r="FH3" i="10"/>
  <c r="FI3" i="10"/>
  <c r="FJ3" i="10"/>
  <c r="FK3" i="10"/>
  <c r="FL3" i="10"/>
  <c r="FM3" i="10"/>
  <c r="FN3" i="10"/>
  <c r="FO3" i="10"/>
  <c r="FP3" i="10"/>
  <c r="FQ3" i="10"/>
  <c r="FR3" i="10"/>
  <c r="FS3" i="10"/>
  <c r="FT3" i="10"/>
  <c r="FU3" i="10"/>
  <c r="FV3" i="10"/>
  <c r="FW3" i="10"/>
  <c r="FX3" i="10"/>
  <c r="FY3" i="10"/>
  <c r="FZ3" i="10"/>
  <c r="GA3" i="10"/>
  <c r="GB3" i="10"/>
  <c r="GC3" i="10"/>
  <c r="GD3" i="10"/>
  <c r="GE3" i="10"/>
  <c r="GF3" i="10"/>
  <c r="GG3" i="10"/>
  <c r="GH3" i="10"/>
  <c r="GI3" i="10"/>
  <c r="GJ3" i="10"/>
  <c r="GK3" i="10"/>
  <c r="GL3" i="10"/>
  <c r="GM3" i="10"/>
  <c r="GN3" i="10"/>
  <c r="GO3" i="10"/>
  <c r="GP3" i="10"/>
  <c r="GQ3" i="10"/>
  <c r="GR3" i="10"/>
  <c r="GS3" i="10"/>
  <c r="GT3" i="10"/>
  <c r="GU3" i="10"/>
  <c r="GV3" i="10"/>
  <c r="GW3" i="10"/>
  <c r="GX3" i="10"/>
  <c r="GY3" i="10"/>
  <c r="GZ3" i="10"/>
  <c r="HA3" i="10"/>
  <c r="HB3" i="10"/>
  <c r="HC3" i="10"/>
  <c r="HD3" i="10"/>
  <c r="HE3" i="10"/>
  <c r="HF3" i="10"/>
  <c r="HG3" i="10"/>
  <c r="HH3" i="10"/>
  <c r="HI3" i="10"/>
  <c r="HJ3" i="10"/>
  <c r="HK3" i="10"/>
  <c r="HL3" i="10"/>
  <c r="HM3" i="10"/>
  <c r="HN3" i="10"/>
  <c r="HO3" i="10"/>
  <c r="HP3" i="10"/>
  <c r="HQ3" i="10"/>
  <c r="HR3" i="10"/>
  <c r="HS3" i="10"/>
  <c r="HT3" i="10"/>
  <c r="HU3" i="10"/>
  <c r="HV3" i="10"/>
  <c r="HW3" i="10"/>
  <c r="HX3" i="10"/>
  <c r="HY3" i="10"/>
  <c r="HZ3" i="10"/>
  <c r="IA3" i="10"/>
  <c r="IB3" i="10"/>
  <c r="IC3" i="10"/>
  <c r="ID3" i="10"/>
  <c r="IE3" i="10"/>
  <c r="IF3" i="10"/>
  <c r="IG3" i="10"/>
  <c r="IH3" i="10"/>
  <c r="II3" i="10"/>
  <c r="IJ3" i="10"/>
  <c r="IK3" i="10"/>
  <c r="IL3" i="10"/>
  <c r="IM3" i="10"/>
  <c r="IN3" i="10"/>
  <c r="IO3" i="10"/>
  <c r="IP3" i="10"/>
  <c r="IQ3" i="10"/>
  <c r="IR3" i="10"/>
  <c r="IS3" i="10"/>
  <c r="IT3" i="10"/>
  <c r="IU3" i="10"/>
  <c r="IV3" i="10"/>
  <c r="A2" i="10"/>
  <c r="B2" i="10"/>
  <c r="C2" i="10"/>
  <c r="D2" i="10"/>
  <c r="E2" i="10"/>
  <c r="F2" i="10"/>
  <c r="G2" i="10"/>
  <c r="H2" i="10"/>
  <c r="I2" i="10"/>
  <c r="J2" i="10"/>
  <c r="K2" i="10"/>
  <c r="L2" i="10"/>
  <c r="M2" i="10"/>
  <c r="N2" i="10"/>
  <c r="O2" i="10"/>
  <c r="P2" i="10"/>
  <c r="Q2" i="10"/>
  <c r="R2" i="10"/>
  <c r="S2" i="10"/>
  <c r="T2" i="10"/>
  <c r="U2" i="10"/>
  <c r="V2" i="10"/>
  <c r="W2" i="10"/>
  <c r="X2" i="10"/>
  <c r="Y2" i="10"/>
  <c r="Z2" i="10"/>
  <c r="AA2" i="10"/>
  <c r="AB2" i="10"/>
  <c r="AC2" i="10"/>
  <c r="AD2" i="10"/>
  <c r="AE2" i="10"/>
  <c r="AF2" i="10"/>
  <c r="AG2" i="10"/>
  <c r="AH2" i="10"/>
  <c r="AI2" i="10"/>
  <c r="AJ2" i="10"/>
  <c r="AK2" i="10"/>
  <c r="AL2" i="10"/>
  <c r="AM2" i="10"/>
  <c r="AN2" i="10"/>
  <c r="AO2" i="10"/>
  <c r="AP2" i="10"/>
  <c r="AQ2" i="10"/>
  <c r="AR2" i="10"/>
  <c r="AS2" i="10"/>
  <c r="AT2" i="10"/>
  <c r="AU2" i="10"/>
  <c r="AV2" i="10"/>
  <c r="AW2" i="10"/>
  <c r="AX2" i="10"/>
  <c r="AY2" i="10"/>
  <c r="AZ2" i="10"/>
  <c r="BA2" i="10"/>
  <c r="BB2" i="10"/>
  <c r="BC2" i="10"/>
  <c r="BD2" i="10"/>
  <c r="BE2" i="10"/>
  <c r="BF2" i="10"/>
  <c r="BG2" i="10"/>
  <c r="BH2" i="10"/>
  <c r="BI2" i="10"/>
  <c r="BJ2" i="10"/>
  <c r="BK2" i="10"/>
  <c r="BL2" i="10"/>
  <c r="BM2" i="10"/>
  <c r="BN2" i="10"/>
  <c r="BO2" i="10"/>
  <c r="BP2" i="10"/>
  <c r="BQ2" i="10"/>
  <c r="BR2" i="10"/>
  <c r="BS2" i="10"/>
  <c r="BT2" i="10"/>
  <c r="BU2" i="10"/>
  <c r="BV2" i="10"/>
  <c r="BW2" i="10"/>
  <c r="BX2" i="10"/>
  <c r="BY2" i="10"/>
  <c r="BZ2" i="10"/>
  <c r="CA2" i="10"/>
  <c r="CB2" i="10"/>
  <c r="CC2" i="10"/>
  <c r="CD2" i="10"/>
  <c r="CE2" i="10"/>
  <c r="CF2" i="10"/>
  <c r="CG2" i="10"/>
  <c r="CH2" i="10"/>
  <c r="CI2" i="10"/>
  <c r="CJ2" i="10"/>
  <c r="CK2" i="10"/>
  <c r="CL2" i="10"/>
  <c r="CM2" i="10"/>
  <c r="CN2" i="10"/>
  <c r="CO2" i="10"/>
  <c r="CP2" i="10"/>
  <c r="CQ2" i="10"/>
  <c r="CR2" i="10"/>
  <c r="CS2" i="10"/>
  <c r="CT2" i="10"/>
  <c r="CU2" i="10"/>
  <c r="CV2" i="10"/>
  <c r="CW2" i="10"/>
  <c r="CX2" i="10"/>
  <c r="CY2" i="10"/>
  <c r="CZ2" i="10"/>
  <c r="DA2" i="10"/>
  <c r="DB2" i="10"/>
  <c r="DC2" i="10"/>
  <c r="DD2" i="10"/>
  <c r="DE2" i="10"/>
  <c r="DF2" i="10"/>
  <c r="DG2" i="10"/>
  <c r="DH2" i="10"/>
  <c r="DI2" i="10"/>
  <c r="DJ2" i="10"/>
  <c r="DK2" i="10"/>
  <c r="DL2" i="10"/>
  <c r="DM2" i="10"/>
  <c r="DN2" i="10"/>
  <c r="DO2" i="10"/>
  <c r="DP2" i="10"/>
  <c r="DQ2" i="10"/>
  <c r="DR2" i="10"/>
  <c r="DS2" i="10"/>
  <c r="DT2" i="10"/>
  <c r="DU2" i="10"/>
  <c r="DV2" i="10"/>
  <c r="DW2" i="10"/>
  <c r="DX2" i="10"/>
  <c r="DY2" i="10"/>
  <c r="DZ2" i="10"/>
  <c r="EA2" i="10"/>
  <c r="EB2" i="10"/>
  <c r="EC2" i="10"/>
  <c r="ED2" i="10"/>
  <c r="EE2" i="10"/>
  <c r="EF2" i="10"/>
  <c r="EG2" i="10"/>
  <c r="EH2" i="10"/>
  <c r="EI2" i="10"/>
  <c r="EJ2" i="10"/>
  <c r="EK2" i="10"/>
  <c r="EL2" i="10"/>
  <c r="EM2" i="10"/>
  <c r="EN2" i="10"/>
  <c r="EO2" i="10"/>
  <c r="EP2" i="10"/>
  <c r="EQ2" i="10"/>
  <c r="ER2" i="10"/>
  <c r="ES2" i="10"/>
  <c r="ET2" i="10"/>
  <c r="EU2" i="10"/>
  <c r="EV2" i="10"/>
  <c r="EW2" i="10"/>
  <c r="EX2" i="10"/>
  <c r="EY2" i="10"/>
  <c r="EZ2" i="10"/>
  <c r="FA2" i="10"/>
  <c r="FB2" i="10"/>
  <c r="FC2" i="10"/>
  <c r="FD2" i="10"/>
  <c r="FE2" i="10"/>
  <c r="FF2" i="10"/>
  <c r="FG2" i="10"/>
  <c r="FH2" i="10"/>
  <c r="FI2" i="10"/>
  <c r="FJ2" i="10"/>
  <c r="FK2" i="10"/>
  <c r="FL2" i="10"/>
  <c r="FM2" i="10"/>
  <c r="FN2" i="10"/>
  <c r="FO2" i="10"/>
  <c r="FP2" i="10"/>
  <c r="FQ2" i="10"/>
  <c r="FR2" i="10"/>
  <c r="FS2" i="10"/>
  <c r="FT2" i="10"/>
  <c r="FU2" i="10"/>
  <c r="FV2" i="10"/>
  <c r="FW2" i="10"/>
  <c r="FX2" i="10"/>
  <c r="FY2" i="10"/>
  <c r="FZ2" i="10"/>
  <c r="GA2" i="10"/>
  <c r="GB2" i="10"/>
  <c r="GC2" i="10"/>
  <c r="GD2" i="10"/>
  <c r="GE2" i="10"/>
  <c r="GF2" i="10"/>
  <c r="GG2" i="10"/>
  <c r="GH2" i="10"/>
  <c r="GI2" i="10"/>
  <c r="GJ2" i="10"/>
  <c r="GK2" i="10"/>
  <c r="GL2" i="10"/>
  <c r="GM2" i="10"/>
  <c r="GN2" i="10"/>
  <c r="GO2" i="10"/>
  <c r="GP2" i="10"/>
  <c r="GQ2" i="10"/>
  <c r="GR2" i="10"/>
  <c r="GS2" i="10"/>
  <c r="GT2" i="10"/>
  <c r="GU2" i="10"/>
  <c r="GV2" i="10"/>
  <c r="GW2" i="10"/>
  <c r="GX2" i="10"/>
  <c r="GY2" i="10"/>
  <c r="GZ2" i="10"/>
  <c r="HA2" i="10"/>
  <c r="HB2" i="10"/>
  <c r="HC2" i="10"/>
  <c r="HD2" i="10"/>
  <c r="HE2" i="10"/>
  <c r="HF2" i="10"/>
  <c r="HG2" i="10"/>
  <c r="HH2" i="10"/>
  <c r="HI2" i="10"/>
  <c r="HJ2" i="10"/>
  <c r="HK2" i="10"/>
  <c r="HL2" i="10"/>
  <c r="HM2" i="10"/>
  <c r="HN2" i="10"/>
  <c r="HO2" i="10"/>
  <c r="HP2" i="10"/>
  <c r="HQ2" i="10"/>
  <c r="HR2" i="10"/>
  <c r="HS2" i="10"/>
  <c r="HT2" i="10"/>
  <c r="HU2" i="10"/>
  <c r="HV2" i="10"/>
  <c r="HW2" i="10"/>
  <c r="HX2" i="10"/>
  <c r="HY2" i="10"/>
  <c r="HZ2" i="10"/>
  <c r="IA2" i="10"/>
  <c r="IB2" i="10"/>
  <c r="IC2" i="10"/>
  <c r="ID2" i="10"/>
  <c r="IE2" i="10"/>
  <c r="IF2" i="10"/>
  <c r="IG2" i="10"/>
  <c r="IH2" i="10"/>
  <c r="II2" i="10"/>
  <c r="IJ2" i="10"/>
  <c r="IK2" i="10"/>
  <c r="IL2" i="10"/>
  <c r="IM2" i="10"/>
  <c r="IN2" i="10"/>
  <c r="IO2" i="10"/>
  <c r="IP2" i="10"/>
  <c r="IQ2" i="10"/>
  <c r="IR2" i="10"/>
  <c r="IS2" i="10"/>
  <c r="IT2" i="10"/>
  <c r="IU2" i="10"/>
  <c r="IV2" i="10"/>
  <c r="A1" i="10"/>
  <c r="B1" i="10"/>
  <c r="C1" i="10"/>
  <c r="D1" i="10"/>
  <c r="E1" i="10"/>
  <c r="F1" i="10"/>
  <c r="G1" i="10"/>
  <c r="H1" i="10"/>
  <c r="I1" i="10"/>
  <c r="J1" i="10"/>
  <c r="K1" i="10"/>
  <c r="L1" i="10"/>
  <c r="M1" i="10"/>
  <c r="N1" i="10"/>
  <c r="O1" i="10"/>
  <c r="P1" i="10"/>
  <c r="Q1" i="10"/>
  <c r="R1" i="10"/>
  <c r="S1" i="10"/>
  <c r="T1" i="10"/>
  <c r="U1" i="10"/>
  <c r="V1" i="10"/>
  <c r="W1" i="10"/>
  <c r="X1" i="10"/>
  <c r="Y1" i="10"/>
  <c r="Z1" i="10"/>
  <c r="AA1" i="10"/>
  <c r="AB1" i="10"/>
  <c r="AC1" i="10"/>
  <c r="AD1" i="10"/>
  <c r="AE1" i="10"/>
  <c r="AF1" i="10"/>
  <c r="AG1" i="10"/>
  <c r="AH1" i="10"/>
  <c r="AI1" i="10"/>
  <c r="AJ1" i="10"/>
  <c r="AK1" i="10"/>
  <c r="AL1" i="10"/>
  <c r="AM1" i="10"/>
  <c r="AN1" i="10"/>
  <c r="AO1" i="10"/>
  <c r="AP1" i="10"/>
  <c r="AQ1" i="10"/>
  <c r="AR1" i="10"/>
  <c r="AS1" i="10"/>
  <c r="AT1" i="10"/>
  <c r="AU1" i="10"/>
  <c r="AV1" i="10"/>
  <c r="AW1" i="10"/>
  <c r="AX1" i="10"/>
  <c r="AY1" i="10"/>
  <c r="AZ1" i="10"/>
  <c r="BA1" i="10"/>
  <c r="BB1" i="10"/>
  <c r="BC1" i="10"/>
  <c r="BD1" i="10"/>
  <c r="BE1" i="10"/>
  <c r="BF1" i="10"/>
  <c r="BG1" i="10"/>
  <c r="BH1" i="10"/>
  <c r="BI1" i="10"/>
  <c r="BJ1" i="10"/>
  <c r="BK1" i="10"/>
  <c r="BL1" i="10"/>
  <c r="BM1" i="10"/>
  <c r="BN1" i="10"/>
  <c r="BO1" i="10"/>
  <c r="BP1" i="10"/>
  <c r="BQ1" i="10"/>
  <c r="BR1" i="10"/>
  <c r="BS1" i="10"/>
  <c r="BT1" i="10"/>
  <c r="BU1" i="10"/>
  <c r="BV1" i="10"/>
  <c r="BW1" i="10"/>
  <c r="BX1" i="10"/>
  <c r="BY1" i="10"/>
  <c r="BZ1" i="10"/>
  <c r="CA1" i="10"/>
  <c r="CB1" i="10"/>
  <c r="CC1" i="10"/>
  <c r="CD1" i="10"/>
  <c r="CE1" i="10"/>
  <c r="CF1" i="10"/>
  <c r="CG1" i="10"/>
  <c r="CH1" i="10"/>
  <c r="CI1" i="10"/>
  <c r="CJ1" i="10"/>
  <c r="CK1" i="10"/>
  <c r="CL1" i="10"/>
  <c r="CM1" i="10"/>
  <c r="CN1" i="10"/>
  <c r="CO1" i="10"/>
  <c r="CP1" i="10"/>
  <c r="CQ1" i="10"/>
  <c r="CR1" i="10"/>
  <c r="CS1" i="10"/>
  <c r="CT1" i="10"/>
  <c r="CU1" i="10"/>
  <c r="CV1" i="10"/>
  <c r="CW1" i="10"/>
  <c r="CX1" i="10"/>
  <c r="CY1" i="10"/>
  <c r="CZ1" i="10"/>
  <c r="DA1" i="10"/>
  <c r="DB1" i="10"/>
  <c r="DC1" i="10"/>
  <c r="DD1" i="10"/>
  <c r="DE1" i="10"/>
  <c r="DF1" i="10"/>
  <c r="DG1" i="10"/>
  <c r="DH1" i="10"/>
  <c r="DI1" i="10"/>
  <c r="DJ1" i="10"/>
  <c r="DK1" i="10"/>
  <c r="DL1" i="10"/>
  <c r="DM1" i="10"/>
  <c r="DN1" i="10"/>
  <c r="DO1" i="10"/>
  <c r="DP1" i="10"/>
  <c r="DQ1" i="10"/>
  <c r="DR1" i="10"/>
  <c r="DS1" i="10"/>
  <c r="DT1" i="10"/>
  <c r="DU1" i="10"/>
  <c r="DV1" i="10"/>
  <c r="DW1" i="10"/>
  <c r="DX1" i="10"/>
  <c r="DY1" i="10"/>
  <c r="DZ1" i="10"/>
  <c r="EA1" i="10"/>
  <c r="EB1" i="10"/>
  <c r="EC1" i="10"/>
  <c r="ED1" i="10"/>
  <c r="EE1" i="10"/>
  <c r="EF1" i="10"/>
  <c r="EG1" i="10"/>
  <c r="EH1" i="10"/>
  <c r="EI1" i="10"/>
  <c r="EJ1" i="10"/>
  <c r="EK1" i="10"/>
  <c r="EL1" i="10"/>
  <c r="EM1" i="10"/>
  <c r="EN1" i="10"/>
  <c r="EO1" i="10"/>
  <c r="EP1" i="10"/>
  <c r="EQ1" i="10"/>
  <c r="ER1" i="10"/>
  <c r="ES1" i="10"/>
  <c r="ET1" i="10"/>
  <c r="EU1" i="10"/>
  <c r="EV1" i="10"/>
  <c r="EW1" i="10"/>
  <c r="EX1" i="10"/>
  <c r="EY1" i="10"/>
  <c r="EZ1" i="10"/>
  <c r="FA1" i="10"/>
  <c r="FB1" i="10"/>
  <c r="FC1" i="10"/>
  <c r="FD1" i="10"/>
  <c r="FE1" i="10"/>
  <c r="FF1" i="10"/>
  <c r="FG1" i="10"/>
  <c r="FH1" i="10"/>
  <c r="FI1" i="10"/>
  <c r="FJ1" i="10"/>
  <c r="FK1" i="10"/>
  <c r="FL1" i="10"/>
  <c r="FM1" i="10"/>
  <c r="FN1" i="10"/>
  <c r="FO1" i="10"/>
  <c r="FP1" i="10"/>
  <c r="FQ1" i="10"/>
  <c r="FR1" i="10"/>
  <c r="FS1" i="10"/>
  <c r="FT1" i="10"/>
  <c r="FU1" i="10"/>
  <c r="FV1" i="10"/>
  <c r="FW1" i="10"/>
  <c r="FX1" i="10"/>
  <c r="FY1" i="10"/>
  <c r="FZ1" i="10"/>
  <c r="GA1" i="10"/>
  <c r="GB1" i="10"/>
  <c r="GC1" i="10"/>
  <c r="GD1" i="10"/>
  <c r="GE1" i="10"/>
  <c r="GF1" i="10"/>
  <c r="GG1" i="10"/>
  <c r="GH1" i="10"/>
  <c r="GI1" i="10"/>
  <c r="GJ1" i="10"/>
  <c r="GK1" i="10"/>
  <c r="GL1" i="10"/>
  <c r="GM1" i="10"/>
  <c r="GN1" i="10"/>
  <c r="GO1" i="10"/>
  <c r="GP1" i="10"/>
  <c r="GQ1" i="10"/>
  <c r="GR1" i="10"/>
  <c r="GS1" i="10"/>
  <c r="GT1" i="10"/>
  <c r="GU1" i="10"/>
  <c r="GV1" i="10"/>
  <c r="GW1" i="10"/>
  <c r="GX1" i="10"/>
  <c r="GY1" i="10"/>
  <c r="GZ1" i="10"/>
  <c r="HA1" i="10"/>
  <c r="HB1" i="10"/>
  <c r="HC1" i="10"/>
  <c r="HD1" i="10"/>
  <c r="HE1" i="10"/>
  <c r="HF1" i="10"/>
  <c r="HG1" i="10"/>
  <c r="HH1" i="10"/>
  <c r="HI1" i="10"/>
  <c r="HJ1" i="10"/>
  <c r="HK1" i="10"/>
  <c r="HL1" i="10"/>
  <c r="HM1" i="10"/>
  <c r="HN1" i="10"/>
  <c r="HO1" i="10"/>
  <c r="HP1" i="10"/>
  <c r="HQ1" i="10"/>
  <c r="HR1" i="10"/>
  <c r="HS1" i="10"/>
  <c r="HT1" i="10"/>
  <c r="HU1" i="10"/>
  <c r="HV1" i="10"/>
  <c r="HW1" i="10"/>
  <c r="HX1" i="10"/>
  <c r="HY1" i="10"/>
  <c r="HZ1" i="10"/>
  <c r="IA1" i="10"/>
  <c r="IB1" i="10"/>
  <c r="IC1" i="10"/>
  <c r="ID1" i="10"/>
  <c r="IE1" i="10"/>
  <c r="IF1" i="10"/>
  <c r="IG1" i="10"/>
  <c r="IH1" i="10"/>
  <c r="II1" i="10"/>
  <c r="IJ1" i="10"/>
  <c r="IK1" i="10"/>
  <c r="IL1" i="10"/>
  <c r="IM1" i="10"/>
  <c r="IN1" i="10"/>
  <c r="IO1" i="10"/>
  <c r="IP1" i="10"/>
  <c r="IQ1" i="10"/>
  <c r="IR1" i="10"/>
  <c r="IS1" i="10"/>
  <c r="IT1" i="10"/>
  <c r="IU1" i="10"/>
  <c r="IV1" i="10"/>
  <c r="Q6" i="6" l="1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5" i="6"/>
  <c r="E171" i="7"/>
  <c r="F171" i="7" s="1"/>
  <c r="G171" i="7" s="1"/>
  <c r="C171" i="7"/>
  <c r="D171" i="7" s="1"/>
  <c r="B171" i="7"/>
  <c r="E170" i="7"/>
  <c r="F170" i="7" s="1"/>
  <c r="G170" i="7" s="1"/>
  <c r="C170" i="7"/>
  <c r="D170" i="7" s="1"/>
  <c r="B170" i="7"/>
  <c r="E169" i="7"/>
  <c r="F169" i="7" s="1"/>
  <c r="G169" i="7" s="1"/>
  <c r="C169" i="7"/>
  <c r="D169" i="7" s="1"/>
  <c r="B169" i="7"/>
  <c r="E168" i="7"/>
  <c r="F168" i="7" s="1"/>
  <c r="G168" i="7" s="1"/>
  <c r="C168" i="7"/>
  <c r="D168" i="7" s="1"/>
  <c r="B168" i="7"/>
  <c r="E167" i="7"/>
  <c r="F167" i="7" s="1"/>
  <c r="G167" i="7" s="1"/>
  <c r="C167" i="7"/>
  <c r="D167" i="7" s="1"/>
  <c r="B167" i="7"/>
  <c r="E166" i="7"/>
  <c r="F166" i="7" s="1"/>
  <c r="G166" i="7" s="1"/>
  <c r="C166" i="7"/>
  <c r="D166" i="7" s="1"/>
  <c r="B166" i="7"/>
  <c r="E165" i="7"/>
  <c r="F165" i="7" s="1"/>
  <c r="G165" i="7" s="1"/>
  <c r="C165" i="7"/>
  <c r="D165" i="7" s="1"/>
  <c r="B165" i="7"/>
  <c r="E164" i="7"/>
  <c r="F164" i="7" s="1"/>
  <c r="G164" i="7" s="1"/>
  <c r="C164" i="7"/>
  <c r="D164" i="7" s="1"/>
  <c r="B164" i="7"/>
  <c r="E163" i="7"/>
  <c r="F163" i="7" s="1"/>
  <c r="G163" i="7" s="1"/>
  <c r="B163" i="7"/>
  <c r="C163" i="7" s="1"/>
  <c r="D163" i="7" s="1"/>
  <c r="E158" i="7"/>
  <c r="F158" i="7" s="1"/>
  <c r="G158" i="7" s="1"/>
  <c r="C158" i="7"/>
  <c r="D158" i="7" s="1"/>
  <c r="B158" i="7"/>
  <c r="E157" i="7"/>
  <c r="F157" i="7" s="1"/>
  <c r="G157" i="7" s="1"/>
  <c r="C157" i="7"/>
  <c r="D157" i="7" s="1"/>
  <c r="B157" i="7"/>
  <c r="E156" i="7"/>
  <c r="F156" i="7" s="1"/>
  <c r="G156" i="7" s="1"/>
  <c r="C156" i="7"/>
  <c r="D156" i="7" s="1"/>
  <c r="B156" i="7"/>
  <c r="E155" i="7"/>
  <c r="F155" i="7" s="1"/>
  <c r="G155" i="7" s="1"/>
  <c r="B155" i="7"/>
  <c r="C155" i="7" s="1"/>
  <c r="D155" i="7" s="1"/>
  <c r="E154" i="7"/>
  <c r="F154" i="7" s="1"/>
  <c r="G154" i="7" s="1"/>
  <c r="B154" i="7"/>
  <c r="C154" i="7" s="1"/>
  <c r="D154" i="7" s="1"/>
  <c r="E153" i="7"/>
  <c r="F153" i="7" s="1"/>
  <c r="G153" i="7" s="1"/>
  <c r="B153" i="7"/>
  <c r="C153" i="7" s="1"/>
  <c r="D153" i="7" s="1"/>
  <c r="E152" i="7"/>
  <c r="F152" i="7" s="1"/>
  <c r="G152" i="7" s="1"/>
  <c r="B152" i="7"/>
  <c r="C152" i="7" s="1"/>
  <c r="D152" i="7" s="1"/>
  <c r="E151" i="7"/>
  <c r="F151" i="7" s="1"/>
  <c r="G151" i="7" s="1"/>
  <c r="B151" i="7"/>
  <c r="C151" i="7" s="1"/>
  <c r="D151" i="7" s="1"/>
  <c r="E150" i="7"/>
  <c r="F150" i="7" s="1"/>
  <c r="G150" i="7" s="1"/>
  <c r="B150" i="7"/>
  <c r="C150" i="7" s="1"/>
  <c r="D150" i="7" s="1"/>
  <c r="E128" i="7"/>
  <c r="F128" i="7" s="1"/>
  <c r="G128" i="7" s="1"/>
  <c r="C128" i="7"/>
  <c r="D128" i="7" s="1"/>
  <c r="B128" i="7"/>
  <c r="E127" i="7"/>
  <c r="F127" i="7" s="1"/>
  <c r="G127" i="7" s="1"/>
  <c r="C127" i="7"/>
  <c r="D127" i="7" s="1"/>
  <c r="B127" i="7"/>
  <c r="E126" i="7"/>
  <c r="F126" i="7" s="1"/>
  <c r="G126" i="7" s="1"/>
  <c r="C126" i="7"/>
  <c r="D126" i="7" s="1"/>
  <c r="B126" i="7"/>
  <c r="E125" i="7"/>
  <c r="F125" i="7" s="1"/>
  <c r="G125" i="7" s="1"/>
  <c r="C125" i="7"/>
  <c r="D125" i="7" s="1"/>
  <c r="B125" i="7"/>
  <c r="E124" i="7"/>
  <c r="F124" i="7" s="1"/>
  <c r="G124" i="7" s="1"/>
  <c r="C124" i="7"/>
  <c r="D124" i="7" s="1"/>
  <c r="B124" i="7"/>
  <c r="E123" i="7"/>
  <c r="F123" i="7" s="1"/>
  <c r="G123" i="7" s="1"/>
  <c r="C123" i="7"/>
  <c r="D123" i="7" s="1"/>
  <c r="B123" i="7"/>
  <c r="E122" i="7"/>
  <c r="F122" i="7" s="1"/>
  <c r="G122" i="7" s="1"/>
  <c r="C122" i="7"/>
  <c r="D122" i="7" s="1"/>
  <c r="B122" i="7"/>
  <c r="E121" i="7"/>
  <c r="F121" i="7" s="1"/>
  <c r="G121" i="7" s="1"/>
  <c r="C121" i="7"/>
  <c r="D121" i="7" s="1"/>
  <c r="B121" i="7"/>
  <c r="E120" i="7"/>
  <c r="F120" i="7" s="1"/>
  <c r="G120" i="7" s="1"/>
  <c r="C120" i="7"/>
  <c r="D120" i="7" s="1"/>
  <c r="B120" i="7"/>
  <c r="E115" i="7"/>
  <c r="F115" i="7" s="1"/>
  <c r="G115" i="7" s="1"/>
  <c r="C115" i="7"/>
  <c r="D115" i="7" s="1"/>
  <c r="B115" i="7"/>
  <c r="E114" i="7"/>
  <c r="F114" i="7" s="1"/>
  <c r="G114" i="7" s="1"/>
  <c r="C114" i="7"/>
  <c r="D114" i="7" s="1"/>
  <c r="B114" i="7"/>
  <c r="E113" i="7"/>
  <c r="F113" i="7" s="1"/>
  <c r="G113" i="7" s="1"/>
  <c r="C113" i="7"/>
  <c r="D113" i="7" s="1"/>
  <c r="B113" i="7"/>
  <c r="E112" i="7"/>
  <c r="F112" i="7" s="1"/>
  <c r="G112" i="7" s="1"/>
  <c r="C112" i="7"/>
  <c r="D112" i="7" s="1"/>
  <c r="B112" i="7"/>
  <c r="E111" i="7"/>
  <c r="F111" i="7" s="1"/>
  <c r="G111" i="7" s="1"/>
  <c r="C111" i="7"/>
  <c r="D111" i="7" s="1"/>
  <c r="B111" i="7"/>
  <c r="E110" i="7"/>
  <c r="F110" i="7" s="1"/>
  <c r="G110" i="7" s="1"/>
  <c r="C110" i="7"/>
  <c r="D110" i="7" s="1"/>
  <c r="B110" i="7"/>
  <c r="E109" i="7"/>
  <c r="F109" i="7" s="1"/>
  <c r="G109" i="7" s="1"/>
  <c r="C109" i="7"/>
  <c r="D109" i="7" s="1"/>
  <c r="B109" i="7"/>
  <c r="E108" i="7"/>
  <c r="F108" i="7" s="1"/>
  <c r="G108" i="7" s="1"/>
  <c r="C108" i="7"/>
  <c r="D108" i="7" s="1"/>
  <c r="B108" i="7"/>
  <c r="E107" i="7"/>
  <c r="F107" i="7" s="1"/>
  <c r="G107" i="7" s="1"/>
  <c r="C107" i="7"/>
  <c r="D107" i="7" s="1"/>
  <c r="B107" i="7"/>
  <c r="E85" i="7"/>
  <c r="F85" i="7" s="1"/>
  <c r="G85" i="7" s="1"/>
  <c r="C85" i="7"/>
  <c r="D85" i="7" s="1"/>
  <c r="B85" i="7"/>
  <c r="E84" i="7"/>
  <c r="F84" i="7" s="1"/>
  <c r="G84" i="7" s="1"/>
  <c r="C84" i="7"/>
  <c r="D84" i="7" s="1"/>
  <c r="B84" i="7"/>
  <c r="E83" i="7"/>
  <c r="F83" i="7" s="1"/>
  <c r="G83" i="7" s="1"/>
  <c r="C83" i="7"/>
  <c r="D83" i="7" s="1"/>
  <c r="B83" i="7"/>
  <c r="E82" i="7"/>
  <c r="F82" i="7" s="1"/>
  <c r="G82" i="7" s="1"/>
  <c r="C82" i="7"/>
  <c r="D82" i="7" s="1"/>
  <c r="B82" i="7"/>
  <c r="E81" i="7"/>
  <c r="F81" i="7" s="1"/>
  <c r="G81" i="7" s="1"/>
  <c r="C81" i="7"/>
  <c r="D81" i="7" s="1"/>
  <c r="B81" i="7"/>
  <c r="E80" i="7"/>
  <c r="F80" i="7" s="1"/>
  <c r="G80" i="7" s="1"/>
  <c r="C80" i="7"/>
  <c r="D80" i="7" s="1"/>
  <c r="B80" i="7"/>
  <c r="E79" i="7"/>
  <c r="F79" i="7" s="1"/>
  <c r="G79" i="7" s="1"/>
  <c r="C79" i="7"/>
  <c r="D79" i="7" s="1"/>
  <c r="B79" i="7"/>
  <c r="E78" i="7"/>
  <c r="F78" i="7" s="1"/>
  <c r="G78" i="7" s="1"/>
  <c r="C78" i="7"/>
  <c r="D78" i="7" s="1"/>
  <c r="B78" i="7"/>
  <c r="E77" i="7"/>
  <c r="F77" i="7" s="1"/>
  <c r="G77" i="7" s="1"/>
  <c r="C77" i="7"/>
  <c r="D77" i="7" s="1"/>
  <c r="B77" i="7"/>
  <c r="E72" i="7"/>
  <c r="F72" i="7" s="1"/>
  <c r="G72" i="7" s="1"/>
  <c r="C72" i="7"/>
  <c r="D72" i="7" s="1"/>
  <c r="B72" i="7"/>
  <c r="E71" i="7"/>
  <c r="F71" i="7" s="1"/>
  <c r="G71" i="7" s="1"/>
  <c r="C71" i="7"/>
  <c r="D71" i="7" s="1"/>
  <c r="B71" i="7"/>
  <c r="E70" i="7"/>
  <c r="F70" i="7" s="1"/>
  <c r="G70" i="7" s="1"/>
  <c r="C70" i="7"/>
  <c r="D70" i="7" s="1"/>
  <c r="B70" i="7"/>
  <c r="E69" i="7"/>
  <c r="F69" i="7" s="1"/>
  <c r="G69" i="7" s="1"/>
  <c r="C69" i="7"/>
  <c r="D69" i="7" s="1"/>
  <c r="B69" i="7"/>
  <c r="E68" i="7"/>
  <c r="F68" i="7" s="1"/>
  <c r="G68" i="7" s="1"/>
  <c r="C68" i="7"/>
  <c r="D68" i="7" s="1"/>
  <c r="B68" i="7"/>
  <c r="E67" i="7"/>
  <c r="F67" i="7" s="1"/>
  <c r="G67" i="7" s="1"/>
  <c r="C67" i="7"/>
  <c r="D67" i="7" s="1"/>
  <c r="B67" i="7"/>
  <c r="E66" i="7"/>
  <c r="F66" i="7" s="1"/>
  <c r="G66" i="7" s="1"/>
  <c r="C66" i="7"/>
  <c r="D66" i="7" s="1"/>
  <c r="B66" i="7"/>
  <c r="E65" i="7"/>
  <c r="F65" i="7" s="1"/>
  <c r="G65" i="7" s="1"/>
  <c r="C65" i="7"/>
  <c r="D65" i="7" s="1"/>
  <c r="B65" i="7"/>
  <c r="E64" i="7"/>
  <c r="F64" i="7" s="1"/>
  <c r="G64" i="7" s="1"/>
  <c r="C64" i="7"/>
  <c r="D64" i="7" s="1"/>
  <c r="B64" i="7"/>
  <c r="B43" i="7"/>
  <c r="C43" i="7" s="1"/>
  <c r="D43" i="7" s="1"/>
  <c r="F42" i="7"/>
  <c r="G42" i="7" s="1"/>
  <c r="E42" i="7"/>
  <c r="B42" i="7"/>
  <c r="C42" i="7" s="1"/>
  <c r="D42" i="7" s="1"/>
  <c r="F41" i="7"/>
  <c r="G41" i="7" s="1"/>
  <c r="E41" i="7"/>
  <c r="B41" i="7"/>
  <c r="C41" i="7" s="1"/>
  <c r="D41" i="7" s="1"/>
  <c r="F40" i="7"/>
  <c r="G40" i="7" s="1"/>
  <c r="E40" i="7"/>
  <c r="B40" i="7"/>
  <c r="C40" i="7" s="1"/>
  <c r="D40" i="7" s="1"/>
  <c r="F39" i="7"/>
  <c r="G39" i="7" s="1"/>
  <c r="E39" i="7"/>
  <c r="B39" i="7"/>
  <c r="C39" i="7" s="1"/>
  <c r="D39" i="7" s="1"/>
  <c r="F38" i="7"/>
  <c r="G38" i="7" s="1"/>
  <c r="E38" i="7"/>
  <c r="B38" i="7"/>
  <c r="C38" i="7" s="1"/>
  <c r="D38" i="7" s="1"/>
  <c r="F37" i="7"/>
  <c r="G37" i="7" s="1"/>
  <c r="E37" i="7"/>
  <c r="B37" i="7"/>
  <c r="C37" i="7" s="1"/>
  <c r="D37" i="7" s="1"/>
  <c r="F36" i="7"/>
  <c r="G36" i="7" s="1"/>
  <c r="E36" i="7"/>
  <c r="B36" i="7"/>
  <c r="C36" i="7" s="1"/>
  <c r="D36" i="7" s="1"/>
  <c r="F35" i="7"/>
  <c r="G35" i="7" s="1"/>
  <c r="E35" i="7"/>
  <c r="B35" i="7"/>
  <c r="C35" i="7" s="1"/>
  <c r="D35" i="7" s="1"/>
  <c r="F34" i="7"/>
  <c r="G34" i="7" s="1"/>
  <c r="E34" i="7"/>
  <c r="B34" i="7"/>
  <c r="C34" i="7" s="1"/>
  <c r="D34" i="7" s="1"/>
  <c r="C30" i="7"/>
  <c r="D30" i="7" s="1"/>
  <c r="B30" i="7"/>
  <c r="E29" i="7"/>
  <c r="F29" i="7" s="1"/>
  <c r="G29" i="7" s="1"/>
  <c r="C29" i="7"/>
  <c r="D29" i="7" s="1"/>
  <c r="B29" i="7"/>
  <c r="E28" i="7"/>
  <c r="F28" i="7" s="1"/>
  <c r="G28" i="7" s="1"/>
  <c r="C28" i="7"/>
  <c r="D28" i="7" s="1"/>
  <c r="B28" i="7"/>
  <c r="E27" i="7"/>
  <c r="F27" i="7" s="1"/>
  <c r="G27" i="7" s="1"/>
  <c r="C27" i="7"/>
  <c r="D27" i="7" s="1"/>
  <c r="B27" i="7"/>
  <c r="E26" i="7"/>
  <c r="F26" i="7" s="1"/>
  <c r="G26" i="7" s="1"/>
  <c r="C26" i="7"/>
  <c r="D26" i="7" s="1"/>
  <c r="B26" i="7"/>
  <c r="E25" i="7"/>
  <c r="F25" i="7" s="1"/>
  <c r="G25" i="7" s="1"/>
  <c r="C25" i="7"/>
  <c r="D25" i="7" s="1"/>
  <c r="B25" i="7"/>
  <c r="E24" i="7"/>
  <c r="F24" i="7" s="1"/>
  <c r="G24" i="7" s="1"/>
  <c r="C24" i="7"/>
  <c r="D24" i="7" s="1"/>
  <c r="B24" i="7"/>
  <c r="E23" i="7"/>
  <c r="F23" i="7" s="1"/>
  <c r="G23" i="7" s="1"/>
  <c r="C23" i="7"/>
  <c r="D23" i="7" s="1"/>
  <c r="B23" i="7"/>
  <c r="E22" i="7"/>
  <c r="F22" i="7" s="1"/>
  <c r="G22" i="7" s="1"/>
  <c r="C22" i="7"/>
  <c r="D22" i="7" s="1"/>
  <c r="B22" i="7"/>
  <c r="E21" i="7"/>
  <c r="F21" i="7" s="1"/>
  <c r="G21" i="7" s="1"/>
  <c r="C21" i="7"/>
  <c r="D21" i="7" s="1"/>
  <c r="B21" i="7"/>
  <c r="E65" i="6" l="1"/>
  <c r="F65" i="6" s="1"/>
  <c r="E64" i="6"/>
  <c r="F64" i="6" s="1"/>
  <c r="E63" i="6"/>
  <c r="F63" i="6" s="1"/>
  <c r="E62" i="6"/>
  <c r="F62" i="6" s="1"/>
  <c r="E61" i="6"/>
  <c r="F61" i="6" s="1"/>
  <c r="E60" i="6"/>
  <c r="F60" i="6" s="1"/>
  <c r="B50" i="6"/>
  <c r="C50" i="6" s="1"/>
  <c r="B45" i="6"/>
  <c r="C45" i="6" s="1"/>
  <c r="Q43" i="6"/>
  <c r="Q41" i="6"/>
  <c r="Q40" i="6"/>
  <c r="Q42" i="6" s="1"/>
  <c r="B40" i="6"/>
  <c r="C40" i="6" s="1"/>
  <c r="Q36" i="6"/>
  <c r="B41" i="6" s="1"/>
  <c r="C41" i="6" s="1"/>
  <c r="B35" i="6"/>
  <c r="B36" i="6" s="1"/>
  <c r="B30" i="6"/>
  <c r="B31" i="6" s="1"/>
  <c r="C31" i="6" s="1"/>
  <c r="I38" i="5"/>
  <c r="J38" i="5" s="1"/>
  <c r="H38" i="5"/>
  <c r="B38" i="5"/>
  <c r="C38" i="5" s="1"/>
  <c r="D38" i="5" s="1"/>
  <c r="L37" i="5"/>
  <c r="M37" i="5" s="1"/>
  <c r="K37" i="5"/>
  <c r="H37" i="5"/>
  <c r="I37" i="5" s="1"/>
  <c r="J37" i="5" s="1"/>
  <c r="F37" i="5"/>
  <c r="G37" i="5" s="1"/>
  <c r="E37" i="5"/>
  <c r="B37" i="5"/>
  <c r="C37" i="5" s="1"/>
  <c r="D37" i="5" s="1"/>
  <c r="L36" i="5"/>
  <c r="M36" i="5" s="1"/>
  <c r="K36" i="5"/>
  <c r="H36" i="5"/>
  <c r="I36" i="5" s="1"/>
  <c r="J36" i="5" s="1"/>
  <c r="F36" i="5"/>
  <c r="G36" i="5" s="1"/>
  <c r="E36" i="5"/>
  <c r="B36" i="5"/>
  <c r="C36" i="5" s="1"/>
  <c r="D36" i="5" s="1"/>
  <c r="L35" i="5"/>
  <c r="M35" i="5" s="1"/>
  <c r="K35" i="5"/>
  <c r="H35" i="5"/>
  <c r="I35" i="5" s="1"/>
  <c r="J35" i="5" s="1"/>
  <c r="F35" i="5"/>
  <c r="G35" i="5" s="1"/>
  <c r="E35" i="5"/>
  <c r="B35" i="5"/>
  <c r="C35" i="5" s="1"/>
  <c r="D35" i="5" s="1"/>
  <c r="L34" i="5"/>
  <c r="M34" i="5" s="1"/>
  <c r="K34" i="5"/>
  <c r="H34" i="5"/>
  <c r="I34" i="5" s="1"/>
  <c r="J34" i="5" s="1"/>
  <c r="F34" i="5"/>
  <c r="G34" i="5" s="1"/>
  <c r="E34" i="5"/>
  <c r="B34" i="5"/>
  <c r="C34" i="5" s="1"/>
  <c r="D34" i="5" s="1"/>
  <c r="L33" i="5"/>
  <c r="M33" i="5" s="1"/>
  <c r="K33" i="5"/>
  <c r="H33" i="5"/>
  <c r="I33" i="5" s="1"/>
  <c r="J33" i="5" s="1"/>
  <c r="F33" i="5"/>
  <c r="G33" i="5" s="1"/>
  <c r="E33" i="5"/>
  <c r="B33" i="5"/>
  <c r="C33" i="5" s="1"/>
  <c r="D33" i="5" s="1"/>
  <c r="L32" i="5"/>
  <c r="M32" i="5" s="1"/>
  <c r="K32" i="5"/>
  <c r="H32" i="5"/>
  <c r="I32" i="5" s="1"/>
  <c r="J32" i="5" s="1"/>
  <c r="F32" i="5"/>
  <c r="G32" i="5" s="1"/>
  <c r="E32" i="5"/>
  <c r="B32" i="5"/>
  <c r="C32" i="5" s="1"/>
  <c r="D32" i="5" s="1"/>
  <c r="L31" i="5"/>
  <c r="M31" i="5" s="1"/>
  <c r="K31" i="5"/>
  <c r="H31" i="5"/>
  <c r="I31" i="5" s="1"/>
  <c r="J31" i="5" s="1"/>
  <c r="F31" i="5"/>
  <c r="G31" i="5" s="1"/>
  <c r="E31" i="5"/>
  <c r="B31" i="5"/>
  <c r="C31" i="5" s="1"/>
  <c r="D31" i="5" s="1"/>
  <c r="L30" i="5"/>
  <c r="M30" i="5" s="1"/>
  <c r="K30" i="5"/>
  <c r="H30" i="5"/>
  <c r="I30" i="5" s="1"/>
  <c r="J30" i="5" s="1"/>
  <c r="F30" i="5"/>
  <c r="G30" i="5" s="1"/>
  <c r="E30" i="5"/>
  <c r="B30" i="5"/>
  <c r="C30" i="5" s="1"/>
  <c r="D30" i="5" s="1"/>
  <c r="L29" i="5"/>
  <c r="M29" i="5" s="1"/>
  <c r="K29" i="5"/>
  <c r="H29" i="5"/>
  <c r="I29" i="5" s="1"/>
  <c r="J29" i="5" s="1"/>
  <c r="F29" i="5"/>
  <c r="G29" i="5" s="1"/>
  <c r="E29" i="5"/>
  <c r="B29" i="5"/>
  <c r="C29" i="5" s="1"/>
  <c r="D29" i="5" s="1"/>
  <c r="C35" i="6" l="1"/>
  <c r="C42" i="6"/>
  <c r="F32" i="6" s="1"/>
  <c r="B37" i="6"/>
  <c r="C36" i="6"/>
  <c r="B42" i="6"/>
  <c r="B51" i="6"/>
  <c r="C51" i="6" s="1"/>
  <c r="C52" i="6" s="1"/>
  <c r="F34" i="6" s="1"/>
  <c r="B32" i="6"/>
  <c r="B46" i="6"/>
  <c r="C46" i="6" s="1"/>
  <c r="C47" i="6" s="1"/>
  <c r="F33" i="6" s="1"/>
  <c r="C30" i="6"/>
  <c r="C32" i="6" s="1"/>
  <c r="F30" i="6" s="1"/>
  <c r="A106" i="4"/>
  <c r="C106" i="4"/>
  <c r="A107" i="4"/>
  <c r="C107" i="4"/>
  <c r="A108" i="4"/>
  <c r="C108" i="4"/>
  <c r="A109" i="4"/>
  <c r="C109" i="4"/>
  <c r="A110" i="4"/>
  <c r="C110" i="4"/>
  <c r="A111" i="4"/>
  <c r="C111" i="4"/>
  <c r="A112" i="4"/>
  <c r="C112" i="4"/>
  <c r="A113" i="4"/>
  <c r="C113" i="4"/>
  <c r="B114" i="4"/>
  <c r="C114" i="4"/>
  <c r="C105" i="4"/>
  <c r="A105" i="4"/>
  <c r="A74" i="4"/>
  <c r="C74" i="4"/>
  <c r="A75" i="4"/>
  <c r="C75" i="4"/>
  <c r="A76" i="4"/>
  <c r="C76" i="4"/>
  <c r="A77" i="4"/>
  <c r="C77" i="4"/>
  <c r="A78" i="4"/>
  <c r="C78" i="4"/>
  <c r="A79" i="4"/>
  <c r="C79" i="4"/>
  <c r="A80" i="4"/>
  <c r="C80" i="4"/>
  <c r="A81" i="4"/>
  <c r="C81" i="4"/>
  <c r="B82" i="4"/>
  <c r="C82" i="4"/>
  <c r="C73" i="4"/>
  <c r="A73" i="4"/>
  <c r="A41" i="4"/>
  <c r="C41" i="4"/>
  <c r="A42" i="4"/>
  <c r="C42" i="4"/>
  <c r="A43" i="4"/>
  <c r="C43" i="4"/>
  <c r="A44" i="4"/>
  <c r="C44" i="4"/>
  <c r="A45" i="4"/>
  <c r="C45" i="4"/>
  <c r="A46" i="4"/>
  <c r="C46" i="4"/>
  <c r="A47" i="4"/>
  <c r="C47" i="4"/>
  <c r="A48" i="4"/>
  <c r="C48" i="4"/>
  <c r="B49" i="4"/>
  <c r="C49" i="4"/>
  <c r="C40" i="4"/>
  <c r="A40" i="4"/>
  <c r="A6" i="4"/>
  <c r="C6" i="4"/>
  <c r="A7" i="4"/>
  <c r="C7" i="4"/>
  <c r="A8" i="4"/>
  <c r="C8" i="4"/>
  <c r="A9" i="4"/>
  <c r="C9" i="4"/>
  <c r="DN9" i="10" s="1"/>
  <c r="A10" i="4"/>
  <c r="C10" i="4"/>
  <c r="A11" i="4"/>
  <c r="C11" i="4"/>
  <c r="A12" i="4"/>
  <c r="C12" i="4"/>
  <c r="A13" i="4"/>
  <c r="C13" i="4"/>
  <c r="A14" i="4"/>
  <c r="C5" i="4"/>
  <c r="A5" i="4"/>
  <c r="B71" i="1"/>
  <c r="F94" i="1"/>
  <c r="I94" i="1" s="1"/>
  <c r="F93" i="1"/>
  <c r="J93" i="1" s="1"/>
  <c r="F92" i="1"/>
  <c r="I92" i="1" s="1"/>
  <c r="F91" i="1"/>
  <c r="J91" i="1" s="1"/>
  <c r="F90" i="1"/>
  <c r="I90" i="1" s="1"/>
  <c r="F89" i="1"/>
  <c r="J89" i="1" s="1"/>
  <c r="F88" i="1"/>
  <c r="I88" i="1" s="1"/>
  <c r="F87" i="1"/>
  <c r="J87" i="1" s="1"/>
  <c r="F86" i="1"/>
  <c r="G86" i="1" s="1"/>
  <c r="F80" i="1"/>
  <c r="G80" i="1" s="1"/>
  <c r="B14" i="4" s="1"/>
  <c r="F79" i="1"/>
  <c r="I79" i="1" s="1"/>
  <c r="B81" i="4" s="1"/>
  <c r="F78" i="1"/>
  <c r="J78" i="1" s="1"/>
  <c r="B112" i="4" s="1"/>
  <c r="F77" i="1"/>
  <c r="I77" i="1" s="1"/>
  <c r="B79" i="4" s="1"/>
  <c r="F76" i="1"/>
  <c r="J76" i="1" s="1"/>
  <c r="B110" i="4" s="1"/>
  <c r="F75" i="1"/>
  <c r="I75" i="1" s="1"/>
  <c r="B77" i="4" s="1"/>
  <c r="F74" i="1"/>
  <c r="J74" i="1" s="1"/>
  <c r="B108" i="4" s="1"/>
  <c r="F73" i="1"/>
  <c r="I73" i="1" s="1"/>
  <c r="B75" i="4" s="1"/>
  <c r="F72" i="1"/>
  <c r="J72" i="1" s="1"/>
  <c r="B106" i="4" s="1"/>
  <c r="F71" i="1"/>
  <c r="I71" i="1" s="1"/>
  <c r="B73" i="4" s="1"/>
  <c r="G71" i="1" l="1"/>
  <c r="B5" i="4" s="1"/>
  <c r="G78" i="1"/>
  <c r="B12" i="4" s="1"/>
  <c r="G76" i="1"/>
  <c r="B10" i="4" s="1"/>
  <c r="G74" i="1"/>
  <c r="B8" i="4" s="1"/>
  <c r="H71" i="1"/>
  <c r="B40" i="4" s="1"/>
  <c r="H79" i="1"/>
  <c r="B48" i="4" s="1"/>
  <c r="H77" i="1"/>
  <c r="B46" i="4" s="1"/>
  <c r="H75" i="1"/>
  <c r="B44" i="4" s="1"/>
  <c r="H73" i="1"/>
  <c r="B42" i="4" s="1"/>
  <c r="I72" i="1"/>
  <c r="B74" i="4" s="1"/>
  <c r="I78" i="1"/>
  <c r="B80" i="4" s="1"/>
  <c r="I76" i="1"/>
  <c r="B78" i="4" s="1"/>
  <c r="I74" i="1"/>
  <c r="B76" i="4" s="1"/>
  <c r="J71" i="1"/>
  <c r="B105" i="4" s="1"/>
  <c r="J79" i="1"/>
  <c r="B113" i="4" s="1"/>
  <c r="J77" i="1"/>
  <c r="B111" i="4" s="1"/>
  <c r="J75" i="1"/>
  <c r="B109" i="4" s="1"/>
  <c r="J73" i="1"/>
  <c r="B107" i="4" s="1"/>
  <c r="G87" i="1"/>
  <c r="G93" i="1"/>
  <c r="G91" i="1"/>
  <c r="G89" i="1"/>
  <c r="H86" i="1"/>
  <c r="I86" i="1"/>
  <c r="J86" i="1"/>
  <c r="H94" i="1"/>
  <c r="H92" i="1"/>
  <c r="H90" i="1"/>
  <c r="H88" i="1"/>
  <c r="I93" i="1"/>
  <c r="I91" i="1"/>
  <c r="I89" i="1"/>
  <c r="J94" i="1"/>
  <c r="J92" i="1"/>
  <c r="J90" i="1"/>
  <c r="J88" i="1"/>
  <c r="G72" i="1"/>
  <c r="B6" i="4" s="1"/>
  <c r="G79" i="1"/>
  <c r="B13" i="4" s="1"/>
  <c r="G77" i="1"/>
  <c r="B11" i="4" s="1"/>
  <c r="G75" i="1"/>
  <c r="B9" i="4" s="1"/>
  <c r="DM9" i="10" s="1"/>
  <c r="G73" i="1"/>
  <c r="B7" i="4" s="1"/>
  <c r="H72" i="1"/>
  <c r="B41" i="4" s="1"/>
  <c r="H78" i="1"/>
  <c r="B47" i="4" s="1"/>
  <c r="H76" i="1"/>
  <c r="B45" i="4" s="1"/>
  <c r="H74" i="1"/>
  <c r="B43" i="4" s="1"/>
  <c r="G94" i="1"/>
  <c r="G92" i="1"/>
  <c r="G90" i="1"/>
  <c r="G88" i="1"/>
  <c r="H87" i="1"/>
  <c r="I87" i="1"/>
  <c r="H93" i="1"/>
  <c r="H91" i="1"/>
  <c r="H89" i="1"/>
  <c r="C37" i="6"/>
  <c r="F31" i="6" s="1"/>
  <c r="B47" i="6"/>
  <c r="B52" i="6"/>
  <c r="E171" i="3"/>
  <c r="F171" i="3" s="1"/>
  <c r="G171" i="3" s="1"/>
  <c r="C171" i="3"/>
  <c r="D171" i="3" s="1"/>
  <c r="B171" i="3"/>
  <c r="E170" i="3"/>
  <c r="F170" i="3" s="1"/>
  <c r="G170" i="3" s="1"/>
  <c r="C170" i="3"/>
  <c r="D170" i="3" s="1"/>
  <c r="B170" i="3"/>
  <c r="E169" i="3"/>
  <c r="F169" i="3" s="1"/>
  <c r="G169" i="3" s="1"/>
  <c r="C169" i="3"/>
  <c r="D169" i="3" s="1"/>
  <c r="B169" i="3"/>
  <c r="E168" i="3"/>
  <c r="F168" i="3" s="1"/>
  <c r="G168" i="3" s="1"/>
  <c r="C168" i="3"/>
  <c r="D168" i="3" s="1"/>
  <c r="B168" i="3"/>
  <c r="E167" i="3"/>
  <c r="F167" i="3" s="1"/>
  <c r="G167" i="3" s="1"/>
  <c r="C167" i="3"/>
  <c r="D167" i="3" s="1"/>
  <c r="B167" i="3"/>
  <c r="E165" i="3"/>
  <c r="F165" i="3" s="1"/>
  <c r="G165" i="3" s="1"/>
  <c r="C165" i="3"/>
  <c r="D165" i="3" s="1"/>
  <c r="B165" i="3"/>
  <c r="E164" i="3"/>
  <c r="F164" i="3" s="1"/>
  <c r="G164" i="3" s="1"/>
  <c r="C164" i="3"/>
  <c r="D164" i="3" s="1"/>
  <c r="B164" i="3"/>
  <c r="E163" i="3"/>
  <c r="F163" i="3" s="1"/>
  <c r="G163" i="3" s="1"/>
  <c r="C163" i="3"/>
  <c r="D163" i="3" s="1"/>
  <c r="B163" i="3"/>
  <c r="E158" i="3"/>
  <c r="F158" i="3" s="1"/>
  <c r="G158" i="3" s="1"/>
  <c r="C158" i="3"/>
  <c r="D158" i="3" s="1"/>
  <c r="B158" i="3"/>
  <c r="E157" i="3"/>
  <c r="F157" i="3" s="1"/>
  <c r="G157" i="3" s="1"/>
  <c r="C157" i="3"/>
  <c r="D157" i="3" s="1"/>
  <c r="B157" i="3"/>
  <c r="E156" i="3"/>
  <c r="F156" i="3" s="1"/>
  <c r="G156" i="3" s="1"/>
  <c r="C156" i="3"/>
  <c r="D156" i="3" s="1"/>
  <c r="B156" i="3"/>
  <c r="E155" i="3"/>
  <c r="F155" i="3" s="1"/>
  <c r="G155" i="3" s="1"/>
  <c r="C155" i="3"/>
  <c r="D155" i="3" s="1"/>
  <c r="B155" i="3"/>
  <c r="E154" i="3"/>
  <c r="F154" i="3" s="1"/>
  <c r="G154" i="3" s="1"/>
  <c r="C154" i="3"/>
  <c r="D154" i="3" s="1"/>
  <c r="B154" i="3"/>
  <c r="E152" i="3"/>
  <c r="F152" i="3" s="1"/>
  <c r="G152" i="3" s="1"/>
  <c r="C152" i="3"/>
  <c r="D152" i="3" s="1"/>
  <c r="B152" i="3"/>
  <c r="E151" i="3"/>
  <c r="F151" i="3" s="1"/>
  <c r="G151" i="3" s="1"/>
  <c r="C151" i="3"/>
  <c r="D151" i="3" s="1"/>
  <c r="B151" i="3"/>
  <c r="E150" i="3"/>
  <c r="F150" i="3" s="1"/>
  <c r="G150" i="3" s="1"/>
  <c r="C150" i="3"/>
  <c r="D150" i="3" s="1"/>
  <c r="B150" i="3"/>
  <c r="E128" i="3"/>
  <c r="F128" i="3" s="1"/>
  <c r="G128" i="3" s="1"/>
  <c r="C128" i="3"/>
  <c r="D128" i="3" s="1"/>
  <c r="B128" i="3"/>
  <c r="E127" i="3"/>
  <c r="F127" i="3" s="1"/>
  <c r="G127" i="3" s="1"/>
  <c r="C127" i="3"/>
  <c r="D127" i="3" s="1"/>
  <c r="B127" i="3"/>
  <c r="E126" i="3"/>
  <c r="F126" i="3" s="1"/>
  <c r="G126" i="3" s="1"/>
  <c r="C126" i="3"/>
  <c r="D126" i="3" s="1"/>
  <c r="B126" i="3"/>
  <c r="E125" i="3"/>
  <c r="F125" i="3" s="1"/>
  <c r="G125" i="3" s="1"/>
  <c r="C125" i="3"/>
  <c r="D125" i="3" s="1"/>
  <c r="B125" i="3"/>
  <c r="E124" i="3"/>
  <c r="F124" i="3" s="1"/>
  <c r="G124" i="3" s="1"/>
  <c r="C124" i="3"/>
  <c r="D124" i="3" s="1"/>
  <c r="B124" i="3"/>
  <c r="E122" i="3"/>
  <c r="F122" i="3" s="1"/>
  <c r="G122" i="3" s="1"/>
  <c r="C122" i="3"/>
  <c r="D122" i="3" s="1"/>
  <c r="B122" i="3"/>
  <c r="E121" i="3"/>
  <c r="F121" i="3" s="1"/>
  <c r="G121" i="3" s="1"/>
  <c r="C121" i="3"/>
  <c r="D121" i="3" s="1"/>
  <c r="B121" i="3"/>
  <c r="E120" i="3"/>
  <c r="F120" i="3" s="1"/>
  <c r="G120" i="3" s="1"/>
  <c r="C120" i="3"/>
  <c r="D120" i="3" s="1"/>
  <c r="B120" i="3"/>
  <c r="E115" i="3"/>
  <c r="F115" i="3" s="1"/>
  <c r="G115" i="3" s="1"/>
  <c r="C115" i="3"/>
  <c r="D115" i="3" s="1"/>
  <c r="B115" i="3"/>
  <c r="E114" i="3"/>
  <c r="F114" i="3" s="1"/>
  <c r="G114" i="3" s="1"/>
  <c r="C114" i="3"/>
  <c r="D114" i="3" s="1"/>
  <c r="B114" i="3"/>
  <c r="E113" i="3"/>
  <c r="F113" i="3" s="1"/>
  <c r="G113" i="3" s="1"/>
  <c r="C113" i="3"/>
  <c r="D113" i="3" s="1"/>
  <c r="B113" i="3"/>
  <c r="E112" i="3"/>
  <c r="F112" i="3" s="1"/>
  <c r="G112" i="3" s="1"/>
  <c r="C112" i="3"/>
  <c r="D112" i="3" s="1"/>
  <c r="B112" i="3"/>
  <c r="E111" i="3"/>
  <c r="F111" i="3" s="1"/>
  <c r="G111" i="3" s="1"/>
  <c r="C111" i="3"/>
  <c r="D111" i="3" s="1"/>
  <c r="B111" i="3"/>
  <c r="E109" i="3"/>
  <c r="F109" i="3" s="1"/>
  <c r="G109" i="3" s="1"/>
  <c r="C109" i="3"/>
  <c r="D109" i="3" s="1"/>
  <c r="B109" i="3"/>
  <c r="E108" i="3"/>
  <c r="F108" i="3" s="1"/>
  <c r="G108" i="3" s="1"/>
  <c r="C108" i="3"/>
  <c r="D108" i="3" s="1"/>
  <c r="B108" i="3"/>
  <c r="E107" i="3"/>
  <c r="F107" i="3" s="1"/>
  <c r="G107" i="3" s="1"/>
  <c r="C107" i="3"/>
  <c r="D107" i="3" s="1"/>
  <c r="B107" i="3"/>
  <c r="E85" i="3"/>
  <c r="F85" i="3" s="1"/>
  <c r="G85" i="3" s="1"/>
  <c r="C85" i="3"/>
  <c r="D85" i="3" s="1"/>
  <c r="B85" i="3"/>
  <c r="E84" i="3"/>
  <c r="F84" i="3" s="1"/>
  <c r="G84" i="3" s="1"/>
  <c r="C84" i="3"/>
  <c r="D84" i="3" s="1"/>
  <c r="B84" i="3"/>
  <c r="E83" i="3"/>
  <c r="F83" i="3" s="1"/>
  <c r="G83" i="3" s="1"/>
  <c r="C83" i="3"/>
  <c r="D83" i="3" s="1"/>
  <c r="B83" i="3"/>
  <c r="E82" i="3"/>
  <c r="F82" i="3" s="1"/>
  <c r="G82" i="3" s="1"/>
  <c r="C82" i="3"/>
  <c r="D82" i="3" s="1"/>
  <c r="B82" i="3"/>
  <c r="E81" i="3"/>
  <c r="F81" i="3" s="1"/>
  <c r="G81" i="3" s="1"/>
  <c r="C81" i="3"/>
  <c r="D81" i="3" s="1"/>
  <c r="B81" i="3"/>
  <c r="E79" i="3"/>
  <c r="F79" i="3" s="1"/>
  <c r="G79" i="3" s="1"/>
  <c r="B79" i="3"/>
  <c r="C79" i="3" s="1"/>
  <c r="D79" i="3" s="1"/>
  <c r="E78" i="3"/>
  <c r="F78" i="3" s="1"/>
  <c r="G78" i="3" s="1"/>
  <c r="B78" i="3"/>
  <c r="C78" i="3" s="1"/>
  <c r="D78" i="3" s="1"/>
  <c r="E77" i="3"/>
  <c r="F77" i="3" s="1"/>
  <c r="G77" i="3" s="1"/>
  <c r="C77" i="3"/>
  <c r="D77" i="3" s="1"/>
  <c r="B77" i="3"/>
  <c r="E72" i="3"/>
  <c r="F72" i="3" s="1"/>
  <c r="G72" i="3" s="1"/>
  <c r="C72" i="3"/>
  <c r="D72" i="3" s="1"/>
  <c r="B72" i="3"/>
  <c r="E71" i="3"/>
  <c r="F71" i="3" s="1"/>
  <c r="G71" i="3" s="1"/>
  <c r="C71" i="3"/>
  <c r="D71" i="3" s="1"/>
  <c r="B71" i="3"/>
  <c r="E70" i="3"/>
  <c r="F70" i="3" s="1"/>
  <c r="G70" i="3" s="1"/>
  <c r="B70" i="3"/>
  <c r="C70" i="3" s="1"/>
  <c r="D70" i="3" s="1"/>
  <c r="F69" i="3"/>
  <c r="G69" i="3" s="1"/>
  <c r="E69" i="3"/>
  <c r="B69" i="3"/>
  <c r="C69" i="3" s="1"/>
  <c r="D69" i="3" s="1"/>
  <c r="F68" i="3"/>
  <c r="G68" i="3" s="1"/>
  <c r="E68" i="3"/>
  <c r="B68" i="3"/>
  <c r="C68" i="3" s="1"/>
  <c r="D68" i="3" s="1"/>
  <c r="F66" i="3"/>
  <c r="G66" i="3" s="1"/>
  <c r="E66" i="3"/>
  <c r="B66" i="3"/>
  <c r="C66" i="3" s="1"/>
  <c r="D66" i="3" s="1"/>
  <c r="F65" i="3"/>
  <c r="G65" i="3" s="1"/>
  <c r="E65" i="3"/>
  <c r="B65" i="3"/>
  <c r="C65" i="3" s="1"/>
  <c r="D65" i="3" s="1"/>
  <c r="F64" i="3"/>
  <c r="G64" i="3" s="1"/>
  <c r="E64" i="3"/>
  <c r="B64" i="3"/>
  <c r="C64" i="3" s="1"/>
  <c r="D64" i="3" s="1"/>
  <c r="F42" i="3"/>
  <c r="G42" i="3" s="1"/>
  <c r="E42" i="3"/>
  <c r="B42" i="3"/>
  <c r="C42" i="3" s="1"/>
  <c r="D42" i="3" s="1"/>
  <c r="F41" i="3"/>
  <c r="G41" i="3" s="1"/>
  <c r="E41" i="3"/>
  <c r="B41" i="3"/>
  <c r="C41" i="3" s="1"/>
  <c r="D41" i="3" s="1"/>
  <c r="F40" i="3"/>
  <c r="G40" i="3" s="1"/>
  <c r="E40" i="3"/>
  <c r="B40" i="3"/>
  <c r="C40" i="3" s="1"/>
  <c r="D40" i="3" s="1"/>
  <c r="F39" i="3"/>
  <c r="G39" i="3" s="1"/>
  <c r="E39" i="3"/>
  <c r="B39" i="3"/>
  <c r="C39" i="3" s="1"/>
  <c r="D39" i="3" s="1"/>
  <c r="F38" i="3"/>
  <c r="G38" i="3" s="1"/>
  <c r="E38" i="3"/>
  <c r="B38" i="3"/>
  <c r="C38" i="3" s="1"/>
  <c r="D38" i="3" s="1"/>
  <c r="F36" i="3"/>
  <c r="G36" i="3" s="1"/>
  <c r="E36" i="3"/>
  <c r="B36" i="3"/>
  <c r="C36" i="3" s="1"/>
  <c r="D36" i="3" s="1"/>
  <c r="F35" i="3"/>
  <c r="G35" i="3" s="1"/>
  <c r="E35" i="3"/>
  <c r="B35" i="3"/>
  <c r="C35" i="3" s="1"/>
  <c r="D35" i="3" s="1"/>
  <c r="E34" i="3"/>
  <c r="F34" i="3" s="1"/>
  <c r="G34" i="3" s="1"/>
  <c r="B34" i="3"/>
  <c r="C34" i="3" s="1"/>
  <c r="D34" i="3" s="1"/>
  <c r="F29" i="3"/>
  <c r="G29" i="3" s="1"/>
  <c r="E29" i="3"/>
  <c r="B29" i="3"/>
  <c r="C29" i="3" s="1"/>
  <c r="D29" i="3" s="1"/>
  <c r="F28" i="3"/>
  <c r="G28" i="3" s="1"/>
  <c r="E28" i="3"/>
  <c r="B28" i="3"/>
  <c r="C28" i="3" s="1"/>
  <c r="D28" i="3" s="1"/>
  <c r="F27" i="3"/>
  <c r="G27" i="3" s="1"/>
  <c r="E27" i="3"/>
  <c r="B27" i="3"/>
  <c r="C27" i="3" s="1"/>
  <c r="D27" i="3" s="1"/>
  <c r="F26" i="3"/>
  <c r="G26" i="3" s="1"/>
  <c r="E26" i="3"/>
  <c r="B26" i="3"/>
  <c r="C26" i="3" s="1"/>
  <c r="D26" i="3" s="1"/>
  <c r="F25" i="3"/>
  <c r="G25" i="3" s="1"/>
  <c r="E25" i="3"/>
  <c r="B25" i="3"/>
  <c r="C25" i="3" s="1"/>
  <c r="D25" i="3" s="1"/>
  <c r="F23" i="3"/>
  <c r="G23" i="3" s="1"/>
  <c r="E23" i="3"/>
  <c r="B23" i="3"/>
  <c r="C23" i="3" s="1"/>
  <c r="D23" i="3" s="1"/>
  <c r="F22" i="3"/>
  <c r="G22" i="3" s="1"/>
  <c r="E22" i="3"/>
  <c r="B22" i="3"/>
  <c r="C22" i="3" s="1"/>
  <c r="D22" i="3" s="1"/>
  <c r="F21" i="3"/>
  <c r="G21" i="3" s="1"/>
  <c r="E21" i="3"/>
  <c r="B21" i="3"/>
  <c r="C21" i="3" s="1"/>
  <c r="D21" i="3" s="1"/>
</calcChain>
</file>

<file path=xl/sharedStrings.xml><?xml version="1.0" encoding="utf-8"?>
<sst xmlns="http://schemas.openxmlformats.org/spreadsheetml/2006/main" count="1723" uniqueCount="137">
  <si>
    <t>Price comparison of the different regions (On-Demand instances):</t>
  </si>
  <si>
    <t>Region</t>
  </si>
  <si>
    <t>US - N. Virg</t>
  </si>
  <si>
    <t>US - N. Cali</t>
  </si>
  <si>
    <t>EU - Ireland</t>
  </si>
  <si>
    <t>APAC - Singa</t>
  </si>
  <si>
    <t>Operating System</t>
  </si>
  <si>
    <t>LINUX/UNIX</t>
  </si>
  <si>
    <t>Type | SubType \ Term</t>
  </si>
  <si>
    <t>$ Per Hour</t>
  </si>
  <si>
    <t>Standard | Small</t>
  </si>
  <si>
    <t>Standard | Large</t>
  </si>
  <si>
    <t>Standard | Extra Large</t>
  </si>
  <si>
    <t>Micro | Micro</t>
  </si>
  <si>
    <t>High-Memory | Extra Large</t>
  </si>
  <si>
    <t>High-Memory | Double Extra Large</t>
  </si>
  <si>
    <t>High-Memory | Quadruple Extra Large</t>
  </si>
  <si>
    <t>High-CPU | Medium</t>
  </si>
  <si>
    <t>High-CPU | Extra Large</t>
  </si>
  <si>
    <t>Cluster Compute | Quadruple Extra Large</t>
  </si>
  <si>
    <t>NA</t>
  </si>
  <si>
    <t>WINDOWS</t>
  </si>
  <si>
    <t>Price comparison of the different regions (Spot instances):</t>
  </si>
  <si>
    <t>Price comparison of the different regions (Storage):</t>
  </si>
  <si>
    <t>Tier \ Unit</t>
  </si>
  <si>
    <t>$ Per GB</t>
  </si>
  <si>
    <t>Next 500 TB</t>
  </si>
  <si>
    <t>Next 4000 TB</t>
  </si>
  <si>
    <t>Over 5000TB</t>
  </si>
  <si>
    <t>Type | Tier \ Unit</t>
  </si>
  <si>
    <t>In | All</t>
  </si>
  <si>
    <t>Out | First 1 GB</t>
  </si>
  <si>
    <t>Out | Up to 10 TB</t>
  </si>
  <si>
    <t>Out | Next 40 TB</t>
  </si>
  <si>
    <t>Out | Next 100 TB</t>
  </si>
  <si>
    <t>Out | Over 150 TB</t>
  </si>
  <si>
    <t>Price comparison instances (US - N. Virginia):</t>
  </si>
  <si>
    <t>Price comparison instances (US - N. California):</t>
  </si>
  <si>
    <t>Price comparison instances (EU - Ireland):</t>
  </si>
  <si>
    <t>Price comparison instances (APAC - Singapore):</t>
  </si>
  <si>
    <t>How long do you have to run a reserved instance for it to be cheaper than a spot instance (US - N. Virginia)?</t>
  </si>
  <si>
    <t>Instance Type</t>
  </si>
  <si>
    <t>Spot</t>
  </si>
  <si>
    <t>Reserved</t>
  </si>
  <si>
    <t>$ Per Year</t>
  </si>
  <si>
    <t>$ Per 3-Year</t>
  </si>
  <si>
    <t>Term</t>
  </si>
  <si>
    <t>1 year</t>
  </si>
  <si>
    <t xml:space="preserve">Type | SubType </t>
  </si>
  <si>
    <t>In Hours</t>
  </si>
  <si>
    <t>In Days</t>
  </si>
  <si>
    <t>In %</t>
  </si>
  <si>
    <t>3 year</t>
  </si>
  <si>
    <t>How long do you have to run a reserved instance for it to be cheaper than a spot instance (US - N. California)?</t>
  </si>
  <si>
    <t>On-Demand</t>
  </si>
  <si>
    <t>How long do you have to run a reserved instance for it to be cheaper than a spot instance (EU - Ireland)?</t>
  </si>
  <si>
    <t>How long do you have to run a reserved instance for it to be cheaper than a spot instance (APAC - Singapore)?</t>
  </si>
  <si>
    <t>Price comparison of the different regions (Reserved instances) [1 year]:</t>
  </si>
  <si>
    <t>Fixed</t>
  </si>
  <si>
    <t>$  Per Hour</t>
  </si>
  <si>
    <t>All</t>
  </si>
  <si>
    <t>Price percentage comparison instances (US - N. Virginia):</t>
  </si>
  <si>
    <t>Price percentage comparison instances (US - N. California):</t>
  </si>
  <si>
    <t>Price percentage comparison instances (EU - Ireland):</t>
  </si>
  <si>
    <t>Price percentage comparison instances (APAC - Singapore):</t>
  </si>
  <si>
    <t>Pricing for US East Instances on Amazon EC2</t>
  </si>
  <si>
    <t>How long do you have to run a reserved instance for it to be cheaper than an on-demand one?</t>
  </si>
  <si>
    <t>Example (Standard Small Linux Instance)</t>
  </si>
  <si>
    <t>Cost Reserved Instance =</t>
  </si>
  <si>
    <t>227.5+x*0.03</t>
  </si>
  <si>
    <t>Cost On-Demand Intance =</t>
  </si>
  <si>
    <t>x*0.085</t>
  </si>
  <si>
    <t>&gt; x=4136.36 hours</t>
  </si>
  <si>
    <t>&gt; x=172.35 days</t>
  </si>
  <si>
    <t>&gt; in use 47,22 % of the time during a year</t>
  </si>
  <si>
    <t>How do we find the Optimal Division between Reserved and On-Demand Instances?</t>
  </si>
  <si>
    <t>By determinating how many instances you need longer or equal to the time given in the table above.</t>
  </si>
  <si>
    <t>Workload Example</t>
  </si>
  <si>
    <t>Instances needed per Day</t>
  </si>
  <si>
    <t>Day</t>
  </si>
  <si>
    <t>Workload</t>
  </si>
  <si>
    <t>Number of Instances</t>
  </si>
  <si>
    <t>What is the Optimal Division between Reserved and On-Demand Instances?</t>
  </si>
  <si>
    <t>We first have a look at the possibility of having only on-demand instances</t>
  </si>
  <si>
    <t>The total price would be 83*0.085*24=169.32 dollar</t>
  </si>
  <si>
    <t>Which is a lot smaller than the price to reserve an instance for a year (227.50)</t>
  </si>
  <si>
    <t>So here the optimal solution is taking only on-demand instances.</t>
  </si>
  <si>
    <t>Let's have a look at the result when we repeat the workload during a year</t>
  </si>
  <si>
    <t>No (0) Reserved Instances</t>
  </si>
  <si>
    <t>Number</t>
  </si>
  <si>
    <t>Cost</t>
  </si>
  <si>
    <t>Setup</t>
  </si>
  <si>
    <t>Total Price</t>
  </si>
  <si>
    <t>On-Demand:</t>
  </si>
  <si>
    <t>All On-Demand Instances</t>
  </si>
  <si>
    <t>Reserved:</t>
  </si>
  <si>
    <t>1 Reserved Instance</t>
  </si>
  <si>
    <t>Total:</t>
  </si>
  <si>
    <t>2 Reserved Instances</t>
  </si>
  <si>
    <t>3 Reserved Instances</t>
  </si>
  <si>
    <t>All (4) Reserved Instances</t>
  </si>
  <si>
    <t>So, for this example the optimal (smallest total cost) solution is to take 3 reserved instances</t>
  </si>
  <si>
    <t>Sum</t>
  </si>
  <si>
    <t>optimal</t>
  </si>
  <si>
    <t>boven opt-1</t>
  </si>
  <si>
    <t>boven opt+1</t>
  </si>
  <si>
    <t>diff</t>
  </si>
  <si>
    <t>count</t>
  </si>
  <si>
    <t>verg waarde</t>
  </si>
  <si>
    <t>How do we get the Optimal Division between Reserved and On-Demand Instances?</t>
  </si>
  <si>
    <t>According to the table on the previous sheet you're better of when choosing for a reserved instance when it will be used more than 47.22 % of the time.</t>
  </si>
  <si>
    <t>So, the following table answers whether we'll use x instances according to the given workload for more than 47.22 % of the time.</t>
  </si>
  <si>
    <t>x</t>
  </si>
  <si>
    <t>% of time bigger than x</t>
  </si>
  <si>
    <t>Answer</t>
  </si>
  <si>
    <t>Thus 3 reserved instances will give the optimal (lowest total cost) solution, since it is the largest number of instances for which the answer is still 'yes'.</t>
  </si>
  <si>
    <t>How long do you have to run a reserved instance for it to be cheaper than an on-demand one (US - N. Virginia)?</t>
  </si>
  <si>
    <t>How long do you have to run a reserved instance for it to be cheaper than an on-demand one (US - N. California)?</t>
  </si>
  <si>
    <t>How long do you have to run a reserved instance for it to be cheaper than an on-demand one (EU - Ireland)?</t>
  </si>
  <si>
    <t>How long do you have to run a reserved instance for it to be cheaper than an on-demand one (APAC - Singapore)?</t>
  </si>
  <si>
    <t xml:space="preserve">Percentage of time you have to run a Reserved instance </t>
  </si>
  <si>
    <t>for it to be cheaper than an  On-Demand one (1 Year)?</t>
  </si>
  <si>
    <t>Percentage</t>
  </si>
  <si>
    <t>for it to be cheaper than an  On-Demand one (3 Years)?</t>
  </si>
  <si>
    <t>Price comparison of the different regions (Data Transfer):</t>
  </si>
  <si>
    <t>APAC - Tokyo</t>
  </si>
  <si>
    <t>Cluster GPU | Quadruple Extra Large</t>
  </si>
  <si>
    <t>AAAAADzHf5M=</t>
  </si>
  <si>
    <t>AAAAADzHf5Q=</t>
  </si>
  <si>
    <t>TBD</t>
  </si>
  <si>
    <t>First 1 TB</t>
  </si>
  <si>
    <t>Next 49 TB</t>
  </si>
  <si>
    <t>Next 450 TB</t>
  </si>
  <si>
    <t>Fixed $  Per Hour</t>
  </si>
  <si>
    <t>Price comparison instances (APAC - Tokyo):</t>
  </si>
  <si>
    <t>Price percentage comparison instances (APAC - Tokyo):</t>
  </si>
  <si>
    <t>How long do you have to run a reserved instance for it to be cheaper than an on-demand one (APAC - Tokyo)?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</si>
</sst>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79">
    <xf numFmtId="0" fontId="0" fillId="0" borderId="0" xfId="0"/>
    <xf numFmtId="0" fontId="3" fillId="0" borderId="0" xfId="0" applyFont="1"/>
    <xf numFmtId="0" fontId="2" fillId="0" borderId="1" xfId="0" applyFont="1" applyBorder="1"/>
    <xf numFmtId="0" fontId="0" fillId="0" borderId="2" xfId="0" applyBorder="1"/>
    <xf numFmtId="0" fontId="2" fillId="0" borderId="3" xfId="0" applyFont="1" applyBorder="1"/>
    <xf numFmtId="0" fontId="4" fillId="0" borderId="4" xfId="0" applyFont="1" applyBorder="1"/>
    <xf numFmtId="0" fontId="2" fillId="0" borderId="5" xfId="0" applyFont="1" applyBorder="1"/>
    <xf numFmtId="0" fontId="0" fillId="0" borderId="6" xfId="0" applyFont="1" applyBorder="1"/>
    <xf numFmtId="0" fontId="0" fillId="0" borderId="7" xfId="0" applyBorder="1"/>
    <xf numFmtId="164" fontId="1" fillId="2" borderId="8" xfId="1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9" xfId="0" applyBorder="1"/>
    <xf numFmtId="164" fontId="1" fillId="2" borderId="4" xfId="1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0" fillId="0" borderId="10" xfId="0" applyBorder="1"/>
    <xf numFmtId="164" fontId="0" fillId="0" borderId="6" xfId="0" applyNumberFormat="1" applyBorder="1" applyAlignment="1">
      <alignment horizontal="right"/>
    </xf>
    <xf numFmtId="0" fontId="4" fillId="0" borderId="11" xfId="0" applyFont="1" applyBorder="1"/>
    <xf numFmtId="0" fontId="0" fillId="0" borderId="12" xfId="0" applyFont="1" applyBorder="1"/>
    <xf numFmtId="164" fontId="0" fillId="0" borderId="13" xfId="0" applyNumberFormat="1" applyBorder="1" applyAlignment="1">
      <alignment horizontal="right"/>
    </xf>
    <xf numFmtId="164" fontId="1" fillId="2" borderId="11" xfId="1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1" fillId="2" borderId="8" xfId="1" applyNumberFormat="1" applyBorder="1"/>
    <xf numFmtId="164" fontId="0" fillId="0" borderId="8" xfId="0" applyNumberFormat="1" applyBorder="1"/>
    <xf numFmtId="164" fontId="1" fillId="2" borderId="4" xfId="1" applyNumberFormat="1" applyBorder="1"/>
    <xf numFmtId="164" fontId="0" fillId="0" borderId="4" xfId="0" applyNumberFormat="1" applyBorder="1"/>
    <xf numFmtId="164" fontId="0" fillId="0" borderId="6" xfId="0" applyNumberFormat="1" applyBorder="1"/>
    <xf numFmtId="164" fontId="1" fillId="2" borderId="14" xfId="1" applyNumberFormat="1" applyBorder="1"/>
    <xf numFmtId="164" fontId="0" fillId="0" borderId="14" xfId="0" applyNumberFormat="1" applyBorder="1"/>
    <xf numFmtId="164" fontId="1" fillId="2" borderId="15" xfId="1" applyNumberFormat="1" applyBorder="1"/>
    <xf numFmtId="164" fontId="0" fillId="0" borderId="15" xfId="0" applyNumberFormat="1" applyBorder="1"/>
    <xf numFmtId="164" fontId="0" fillId="0" borderId="16" xfId="0" applyNumberFormat="1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4" fillId="0" borderId="15" xfId="0" applyFont="1" applyBorder="1"/>
    <xf numFmtId="0" fontId="0" fillId="0" borderId="16" xfId="0" applyFont="1" applyBorder="1"/>
    <xf numFmtId="164" fontId="1" fillId="2" borderId="16" xfId="1" applyNumberFormat="1" applyBorder="1"/>
    <xf numFmtId="164" fontId="0" fillId="0" borderId="16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0" fontId="5" fillId="0" borderId="0" xfId="0" applyFont="1"/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164" fontId="0" fillId="0" borderId="13" xfId="0" applyNumberFormat="1" applyBorder="1"/>
    <xf numFmtId="164" fontId="0" fillId="0" borderId="15" xfId="0" applyNumberFormat="1" applyFont="1" applyBorder="1"/>
    <xf numFmtId="164" fontId="0" fillId="0" borderId="11" xfId="0" applyNumberFormat="1" applyFont="1" applyBorder="1"/>
    <xf numFmtId="0" fontId="0" fillId="0" borderId="19" xfId="0" applyBorder="1"/>
    <xf numFmtId="0" fontId="4" fillId="0" borderId="20" xfId="0" applyFont="1" applyBorder="1"/>
    <xf numFmtId="0" fontId="0" fillId="0" borderId="21" xfId="0" applyFont="1" applyBorder="1"/>
    <xf numFmtId="0" fontId="0" fillId="0" borderId="22" xfId="0" applyBorder="1"/>
    <xf numFmtId="164" fontId="0" fillId="0" borderId="14" xfId="0" applyNumberFormat="1" applyBorder="1" applyAlignment="1">
      <alignment horizontal="right"/>
    </xf>
    <xf numFmtId="164" fontId="0" fillId="0" borderId="23" xfId="0" applyNumberFormat="1" applyBorder="1"/>
    <xf numFmtId="0" fontId="0" fillId="0" borderId="3" xfId="0" applyBorder="1"/>
    <xf numFmtId="164" fontId="0" fillId="0" borderId="20" xfId="0" applyNumberFormat="1" applyBorder="1"/>
    <xf numFmtId="164" fontId="0" fillId="0" borderId="20" xfId="0" applyNumberFormat="1" applyBorder="1" applyAlignment="1">
      <alignment horizontal="right"/>
    </xf>
    <xf numFmtId="0" fontId="0" fillId="0" borderId="5" xfId="0" applyBorder="1"/>
    <xf numFmtId="164" fontId="0" fillId="0" borderId="24" xfId="0" applyNumberFormat="1" applyBorder="1" applyAlignment="1">
      <alignment horizontal="right"/>
    </xf>
    <xf numFmtId="164" fontId="0" fillId="0" borderId="25" xfId="0" applyNumberFormat="1" applyBorder="1" applyAlignment="1">
      <alignment horizontal="right"/>
    </xf>
    <xf numFmtId="164" fontId="0" fillId="0" borderId="21" xfId="0" applyNumberFormat="1" applyBorder="1" applyAlignment="1">
      <alignment horizontal="right"/>
    </xf>
    <xf numFmtId="164" fontId="0" fillId="0" borderId="23" xfId="0" applyNumberFormat="1" applyBorder="1" applyAlignment="1">
      <alignment horizontal="right"/>
    </xf>
    <xf numFmtId="164" fontId="0" fillId="0" borderId="26" xfId="0" applyNumberFormat="1" applyBorder="1" applyAlignment="1">
      <alignment horizontal="right"/>
    </xf>
    <xf numFmtId="0" fontId="0" fillId="0" borderId="7" xfId="0" applyFill="1" applyBorder="1"/>
    <xf numFmtId="0" fontId="4" fillId="0" borderId="9" xfId="0" applyFont="1" applyFill="1" applyBorder="1"/>
    <xf numFmtId="0" fontId="0" fillId="0" borderId="10" xfId="0" applyFont="1" applyFill="1" applyBorder="1"/>
    <xf numFmtId="164" fontId="0" fillId="0" borderId="29" xfId="0" applyNumberFormat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32" xfId="0" applyFont="1" applyBorder="1"/>
    <xf numFmtId="0" fontId="2" fillId="0" borderId="33" xfId="0" applyFont="1" applyBorder="1"/>
    <xf numFmtId="164" fontId="0" fillId="0" borderId="8" xfId="0" applyNumberFormat="1" applyFill="1" applyBorder="1"/>
    <xf numFmtId="0" fontId="0" fillId="0" borderId="13" xfId="0" applyBorder="1"/>
    <xf numFmtId="164" fontId="0" fillId="0" borderId="4" xfId="0" applyNumberFormat="1" applyFill="1" applyBorder="1"/>
    <xf numFmtId="0" fontId="0" fillId="0" borderId="11" xfId="0" applyBorder="1"/>
    <xf numFmtId="0" fontId="6" fillId="0" borderId="15" xfId="0" applyFont="1" applyBorder="1"/>
    <xf numFmtId="0" fontId="2" fillId="0" borderId="15" xfId="0" applyFont="1" applyBorder="1"/>
    <xf numFmtId="0" fontId="2" fillId="0" borderId="34" xfId="0" applyFont="1" applyBorder="1"/>
    <xf numFmtId="0" fontId="2" fillId="0" borderId="35" xfId="0" applyFont="1" applyBorder="1"/>
    <xf numFmtId="0" fontId="0" fillId="0" borderId="15" xfId="0" applyBorder="1"/>
    <xf numFmtId="0" fontId="0" fillId="0" borderId="30" xfId="0" applyBorder="1"/>
    <xf numFmtId="0" fontId="0" fillId="0" borderId="36" xfId="0" applyBorder="1"/>
    <xf numFmtId="0" fontId="0" fillId="0" borderId="37" xfId="0" applyBorder="1"/>
    <xf numFmtId="0" fontId="2" fillId="0" borderId="15" xfId="0" applyFont="1" applyFill="1" applyBorder="1"/>
    <xf numFmtId="0" fontId="0" fillId="0" borderId="38" xfId="0" applyBorder="1"/>
    <xf numFmtId="164" fontId="0" fillId="0" borderId="6" xfId="0" applyNumberFormat="1" applyFill="1" applyBorder="1"/>
    <xf numFmtId="0" fontId="0" fillId="0" borderId="12" xfId="0" applyBorder="1"/>
    <xf numFmtId="0" fontId="0" fillId="0" borderId="35" xfId="0" applyBorder="1"/>
    <xf numFmtId="0" fontId="2" fillId="0" borderId="0" xfId="0" applyFont="1" applyBorder="1"/>
    <xf numFmtId="0" fontId="0" fillId="0" borderId="0" xfId="0" applyBorder="1"/>
    <xf numFmtId="0" fontId="0" fillId="0" borderId="4" xfId="0" applyBorder="1"/>
    <xf numFmtId="0" fontId="0" fillId="0" borderId="0" xfId="0" applyFill="1" applyBorder="1"/>
    <xf numFmtId="0" fontId="2" fillId="0" borderId="4" xfId="0" applyFont="1" applyBorder="1"/>
    <xf numFmtId="0" fontId="2" fillId="0" borderId="6" xfId="0" applyFont="1" applyBorder="1"/>
    <xf numFmtId="0" fontId="2" fillId="0" borderId="39" xfId="0" applyFont="1" applyBorder="1"/>
    <xf numFmtId="0" fontId="0" fillId="0" borderId="8" xfId="0" applyBorder="1"/>
    <xf numFmtId="0" fontId="0" fillId="0" borderId="14" xfId="0" applyBorder="1"/>
    <xf numFmtId="0" fontId="0" fillId="0" borderId="6" xfId="0" applyBorder="1"/>
    <xf numFmtId="0" fontId="0" fillId="0" borderId="16" xfId="0" applyBorder="1"/>
    <xf numFmtId="0" fontId="0" fillId="0" borderId="25" xfId="0" applyBorder="1"/>
    <xf numFmtId="0" fontId="0" fillId="0" borderId="40" xfId="0" applyFont="1" applyBorder="1"/>
    <xf numFmtId="0" fontId="0" fillId="0" borderId="41" xfId="0" applyFont="1" applyBorder="1"/>
    <xf numFmtId="0" fontId="0" fillId="0" borderId="42" xfId="0" applyFont="1" applyBorder="1"/>
    <xf numFmtId="0" fontId="0" fillId="0" borderId="1" xfId="0" applyBorder="1"/>
    <xf numFmtId="164" fontId="1" fillId="2" borderId="17" xfId="1" applyNumberFormat="1" applyBorder="1" applyAlignment="1">
      <alignment horizontal="right"/>
    </xf>
    <xf numFmtId="164" fontId="1" fillId="2" borderId="15" xfId="1" applyNumberFormat="1" applyBorder="1" applyAlignment="1">
      <alignment horizontal="right"/>
    </xf>
    <xf numFmtId="164" fontId="1" fillId="2" borderId="6" xfId="1" applyNumberFormat="1" applyBorder="1" applyAlignment="1">
      <alignment horizontal="right"/>
    </xf>
    <xf numFmtId="164" fontId="1" fillId="2" borderId="14" xfId="1" applyNumberFormat="1" applyBorder="1" applyAlignment="1">
      <alignment horizontal="right"/>
    </xf>
    <xf numFmtId="0" fontId="0" fillId="0" borderId="18" xfId="0" applyFill="1" applyBorder="1"/>
    <xf numFmtId="164" fontId="1" fillId="2" borderId="31" xfId="1" applyNumberFormat="1" applyBorder="1" applyAlignment="1">
      <alignment horizontal="right"/>
    </xf>
    <xf numFmtId="164" fontId="1" fillId="2" borderId="28" xfId="1" applyNumberFormat="1" applyBorder="1" applyAlignment="1">
      <alignment horizontal="right"/>
    </xf>
    <xf numFmtId="164" fontId="1" fillId="2" borderId="2" xfId="1" applyNumberFormat="1" applyBorder="1"/>
    <xf numFmtId="164" fontId="0" fillId="0" borderId="17" xfId="0" applyNumberFormat="1" applyBorder="1"/>
    <xf numFmtId="164" fontId="1" fillId="2" borderId="17" xfId="1" applyNumberFormat="1" applyBorder="1"/>
    <xf numFmtId="164" fontId="1" fillId="2" borderId="6" xfId="1" applyNumberFormat="1" applyBorder="1"/>
    <xf numFmtId="164" fontId="0" fillId="0" borderId="15" xfId="0" applyNumberFormat="1" applyBorder="1" applyAlignment="1">
      <alignment horizontal="right"/>
    </xf>
    <xf numFmtId="0" fontId="1" fillId="2" borderId="0" xfId="1"/>
    <xf numFmtId="0" fontId="0" fillId="0" borderId="11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2" xfId="0" applyBorder="1" applyAlignment="1">
      <alignment horizontal="right"/>
    </xf>
    <xf numFmtId="165" fontId="0" fillId="0" borderId="18" xfId="0" applyNumberFormat="1" applyBorder="1"/>
    <xf numFmtId="165" fontId="0" fillId="0" borderId="11" xfId="0" applyNumberFormat="1" applyBorder="1"/>
    <xf numFmtId="165" fontId="1" fillId="2" borderId="2" xfId="1" applyNumberFormat="1" applyBorder="1" applyAlignment="1">
      <alignment horizontal="right"/>
    </xf>
    <xf numFmtId="165" fontId="0" fillId="0" borderId="17" xfId="0" applyNumberFormat="1" applyBorder="1" applyAlignment="1">
      <alignment horizontal="right"/>
    </xf>
    <xf numFmtId="165" fontId="1" fillId="2" borderId="4" xfId="1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165" fontId="1" fillId="2" borderId="17" xfId="1" applyNumberFormat="1" applyBorder="1" applyAlignment="1">
      <alignment horizontal="right"/>
    </xf>
    <xf numFmtId="165" fontId="1" fillId="2" borderId="15" xfId="1" applyNumberFormat="1" applyBorder="1" applyAlignment="1">
      <alignment horizontal="right"/>
    </xf>
    <xf numFmtId="165" fontId="0" fillId="0" borderId="11" xfId="0" applyNumberFormat="1" applyBorder="1" applyAlignment="1">
      <alignment horizontal="right"/>
    </xf>
    <xf numFmtId="165" fontId="0" fillId="0" borderId="6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1" fillId="2" borderId="18" xfId="1" applyNumberFormat="1" applyBorder="1"/>
    <xf numFmtId="165" fontId="1" fillId="2" borderId="11" xfId="1" applyNumberFormat="1" applyBorder="1"/>
    <xf numFmtId="165" fontId="0" fillId="0" borderId="15" xfId="0" applyNumberFormat="1" applyBorder="1"/>
    <xf numFmtId="165" fontId="1" fillId="2" borderId="2" xfId="1" applyNumberFormat="1" applyBorder="1"/>
    <xf numFmtId="165" fontId="0" fillId="0" borderId="17" xfId="0" applyNumberFormat="1" applyBorder="1"/>
    <xf numFmtId="165" fontId="0" fillId="0" borderId="27" xfId="0" applyNumberFormat="1" applyBorder="1"/>
    <xf numFmtId="165" fontId="0" fillId="0" borderId="7" xfId="0" applyNumberFormat="1" applyBorder="1"/>
    <xf numFmtId="165" fontId="1" fillId="2" borderId="4" xfId="1" applyNumberFormat="1" applyBorder="1"/>
    <xf numFmtId="165" fontId="0" fillId="0" borderId="28" xfId="0" applyNumberFormat="1" applyBorder="1"/>
    <xf numFmtId="165" fontId="0" fillId="0" borderId="9" xfId="0" applyNumberFormat="1" applyBorder="1"/>
    <xf numFmtId="165" fontId="0" fillId="0" borderId="4" xfId="0" applyNumberFormat="1" applyBorder="1"/>
    <xf numFmtId="165" fontId="0" fillId="0" borderId="16" xfId="0" applyNumberFormat="1" applyBorder="1"/>
    <xf numFmtId="165" fontId="0" fillId="0" borderId="12" xfId="0" applyNumberFormat="1" applyBorder="1"/>
    <xf numFmtId="165" fontId="0" fillId="0" borderId="28" xfId="0" applyNumberFormat="1" applyBorder="1" applyAlignment="1">
      <alignment horizontal="right"/>
    </xf>
    <xf numFmtId="165" fontId="0" fillId="0" borderId="29" xfId="0" applyNumberFormat="1" applyBorder="1" applyAlignment="1">
      <alignment horizontal="right"/>
    </xf>
    <xf numFmtId="165" fontId="0" fillId="0" borderId="18" xfId="0" applyNumberFormat="1" applyBorder="1" applyAlignment="1">
      <alignment horizontal="right"/>
    </xf>
    <xf numFmtId="165" fontId="1" fillId="2" borderId="17" xfId="1" applyNumberFormat="1" applyBorder="1"/>
    <xf numFmtId="165" fontId="1" fillId="2" borderId="15" xfId="1" applyNumberFormat="1" applyBorder="1"/>
    <xf numFmtId="165" fontId="1" fillId="2" borderId="6" xfId="1" applyNumberFormat="1" applyBorder="1"/>
    <xf numFmtId="165" fontId="1" fillId="2" borderId="16" xfId="1" applyNumberFormat="1" applyBorder="1"/>
    <xf numFmtId="0" fontId="0" fillId="0" borderId="1" xfId="0" applyFill="1" applyBorder="1"/>
    <xf numFmtId="0" fontId="4" fillId="0" borderId="3" xfId="0" applyFont="1" applyBorder="1"/>
    <xf numFmtId="0" fontId="0" fillId="0" borderId="5" xfId="0" applyFont="1" applyBorder="1"/>
    <xf numFmtId="165" fontId="0" fillId="0" borderId="9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0" fontId="4" fillId="0" borderId="0" xfId="0" applyFont="1" applyFill="1" applyBorder="1"/>
    <xf numFmtId="0" fontId="0" fillId="0" borderId="0" xfId="0" applyFont="1" applyFill="1" applyBorder="1"/>
    <xf numFmtId="165" fontId="0" fillId="0" borderId="0" xfId="0" applyNumberFormat="1" applyBorder="1"/>
    <xf numFmtId="165" fontId="0" fillId="0" borderId="0" xfId="0" applyNumberFormat="1" applyBorder="1" applyAlignment="1">
      <alignment horizontal="right"/>
    </xf>
    <xf numFmtId="0" fontId="4" fillId="0" borderId="9" xfId="0" applyFont="1" applyBorder="1"/>
    <xf numFmtId="0" fontId="0" fillId="0" borderId="10" xfId="0" applyFont="1" applyBorder="1"/>
    <xf numFmtId="0" fontId="4" fillId="0" borderId="3" xfId="0" applyFont="1" applyFill="1" applyBorder="1"/>
    <xf numFmtId="0" fontId="0" fillId="0" borderId="5" xfId="0" applyFont="1" applyFill="1" applyBorder="1"/>
    <xf numFmtId="165" fontId="0" fillId="0" borderId="1" xfId="0" applyNumberFormat="1" applyBorder="1"/>
    <xf numFmtId="165" fontId="0" fillId="0" borderId="3" xfId="0" applyNumberFormat="1" applyBorder="1"/>
    <xf numFmtId="165" fontId="0" fillId="0" borderId="3" xfId="0" applyNumberFormat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0" fontId="0" fillId="0" borderId="44" xfId="0" applyBorder="1"/>
    <xf numFmtId="0" fontId="0" fillId="0" borderId="43" xfId="0" applyBorder="1"/>
    <xf numFmtId="0" fontId="4" fillId="0" borderId="37" xfId="0" applyFont="1" applyBorder="1"/>
    <xf numFmtId="0" fontId="0" fillId="0" borderId="38" xfId="0" applyFont="1" applyBorder="1"/>
    <xf numFmtId="165" fontId="0" fillId="0" borderId="2" xfId="0" applyNumberFormat="1" applyBorder="1"/>
    <xf numFmtId="164" fontId="0" fillId="0" borderId="18" xfId="0" applyNumberFormat="1" applyBorder="1"/>
    <xf numFmtId="164" fontId="0" fillId="0" borderId="18" xfId="0" applyNumberFormat="1" applyBorder="1" applyAlignment="1">
      <alignment horizontal="right"/>
    </xf>
    <xf numFmtId="0" fontId="1" fillId="2" borderId="11" xfId="1" applyBorder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4.xml"/><Relationship Id="rId15" Type="http://schemas.openxmlformats.org/officeDocument/2006/relationships/calcChain" Target="calcChain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939712"/>
        <c:axId val="191941248"/>
      </c:barChart>
      <c:catAx>
        <c:axId val="191939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91941248"/>
        <c:crosses val="autoZero"/>
        <c:auto val="1"/>
        <c:lblAlgn val="ctr"/>
        <c:lblOffset val="100"/>
        <c:noMultiLvlLbl val="0"/>
      </c:catAx>
      <c:valAx>
        <c:axId val="191941248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91939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Linux Instances Comparison for APAC - Singapore Region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Spot</c:v>
          </c:tx>
          <c:invertIfNegative val="0"/>
          <c:cat>
            <c:strRef>
              <c:f>PriceComparison!$A$39:$A$48</c:f>
              <c:strCache>
                <c:ptCount val="10"/>
                <c:pt idx="0">
                  <c:v>Standard | Small</c:v>
                </c:pt>
                <c:pt idx="1">
                  <c:v>Standard | Large</c:v>
                </c:pt>
                <c:pt idx="2">
                  <c:v>Standard | Extra Large</c:v>
                </c:pt>
                <c:pt idx="3">
                  <c:v>Micro | Micro</c:v>
                </c:pt>
                <c:pt idx="4">
                  <c:v>High-Memory | Extra Large</c:v>
                </c:pt>
                <c:pt idx="5">
                  <c:v>High-Memory | Double Extra Large</c:v>
                </c:pt>
                <c:pt idx="6">
                  <c:v>High-Memory | Quadruple Extra Large</c:v>
                </c:pt>
                <c:pt idx="7">
                  <c:v>High-CPU | Medium</c:v>
                </c:pt>
                <c:pt idx="8">
                  <c:v>High-CPU | Extra Large</c:v>
                </c:pt>
                <c:pt idx="9">
                  <c:v>Cluster Compute | Quadruple Extra Large</c:v>
                </c:pt>
              </c:strCache>
            </c:strRef>
          </c:cat>
          <c:val>
            <c:numRef>
              <c:f>PriceComparisonNormalised!$C$105:$C$114</c:f>
              <c:numCache>
                <c:formatCode>General</c:formatCode>
                <c:ptCount val="10"/>
                <c:pt idx="0">
                  <c:v>49.263157894736842</c:v>
                </c:pt>
                <c:pt idx="1">
                  <c:v>43.763157894736842</c:v>
                </c:pt>
                <c:pt idx="2">
                  <c:v>42.917105263157893</c:v>
                </c:pt>
                <c:pt idx="3">
                  <c:v>53.199999999999989</c:v>
                </c:pt>
                <c:pt idx="4">
                  <c:v>43.280701754385973</c:v>
                </c:pt>
                <c:pt idx="5">
                  <c:v>46.201754385964911</c:v>
                </c:pt>
                <c:pt idx="6">
                  <c:v>45.947368421052637</c:v>
                </c:pt>
                <c:pt idx="7">
                  <c:v>45.526315789473685</c:v>
                </c:pt>
                <c:pt idx="8">
                  <c:v>43.25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v>Reserved</c:v>
          </c:tx>
          <c:invertIfNegative val="0"/>
          <c:val>
            <c:numRef>
              <c:f>PriceComparisonNormalised!$B$105:$B$114</c:f>
              <c:numCache>
                <c:formatCode>General</c:formatCode>
                <c:ptCount val="10"/>
                <c:pt idx="0">
                  <c:v>69.442441720740206</c:v>
                </c:pt>
                <c:pt idx="1">
                  <c:v>69.442441720740206</c:v>
                </c:pt>
                <c:pt idx="2">
                  <c:v>69.442441720740206</c:v>
                </c:pt>
                <c:pt idx="3">
                  <c:v>64.657534246575338</c:v>
                </c:pt>
                <c:pt idx="4">
                  <c:v>68.641352239045105</c:v>
                </c:pt>
                <c:pt idx="5">
                  <c:v>68.641352239045105</c:v>
                </c:pt>
                <c:pt idx="6">
                  <c:v>68.641352239045105</c:v>
                </c:pt>
                <c:pt idx="7">
                  <c:v>69.442441720740206</c:v>
                </c:pt>
                <c:pt idx="8">
                  <c:v>69.442441720740206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v>On-Demand</c:v>
          </c:tx>
          <c:invertIfNegative val="0"/>
          <c:val>
            <c:numRef>
              <c:f>PriceComparisonNormalised!$A$105:$A$114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08448"/>
        <c:axId val="152409984"/>
      </c:barChart>
      <c:catAx>
        <c:axId val="152408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52409984"/>
        <c:crosses val="autoZero"/>
        <c:auto val="1"/>
        <c:lblAlgn val="ctr"/>
        <c:lblOffset val="100"/>
        <c:noMultiLvlLbl val="0"/>
      </c:catAx>
      <c:valAx>
        <c:axId val="152409984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152408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Linux Instances Comparison for APAC - Tokyo Region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Spot</c:v>
          </c:tx>
          <c:invertIfNegative val="0"/>
          <c:cat>
            <c:strRef>
              <c:f>PriceComparison!$A$39:$A$48</c:f>
              <c:strCache>
                <c:ptCount val="10"/>
                <c:pt idx="0">
                  <c:v>Standard | Small</c:v>
                </c:pt>
                <c:pt idx="1">
                  <c:v>Standard | Large</c:v>
                </c:pt>
                <c:pt idx="2">
                  <c:v>Standard | Extra Large</c:v>
                </c:pt>
                <c:pt idx="3">
                  <c:v>Micro | Micro</c:v>
                </c:pt>
                <c:pt idx="4">
                  <c:v>High-Memory | Extra Large</c:v>
                </c:pt>
                <c:pt idx="5">
                  <c:v>High-Memory | Double Extra Large</c:v>
                </c:pt>
                <c:pt idx="6">
                  <c:v>High-Memory | Quadruple Extra Large</c:v>
                </c:pt>
                <c:pt idx="7">
                  <c:v>High-CPU | Medium</c:v>
                </c:pt>
                <c:pt idx="8">
                  <c:v>High-CPU | Extra Large</c:v>
                </c:pt>
                <c:pt idx="9">
                  <c:v>Cluster Compute | Quadruple Extra Large</c:v>
                </c:pt>
              </c:strCache>
            </c:strRef>
          </c:cat>
          <c:val>
            <c:numRef>
              <c:f>PriceComparisonNormalised!$C$138:$C$147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v>Reserved</c:v>
          </c:tx>
          <c:invertIfNegative val="0"/>
          <c:val>
            <c:numRef>
              <c:f>PriceComparisonNormalised!$B$138:$B$147</c:f>
              <c:numCache>
                <c:formatCode>General</c:formatCode>
                <c:ptCount val="10"/>
                <c:pt idx="0">
                  <c:v>72.283105022831052</c:v>
                </c:pt>
                <c:pt idx="1">
                  <c:v>72.283105022831052</c:v>
                </c:pt>
                <c:pt idx="2">
                  <c:v>72.268835616438338</c:v>
                </c:pt>
                <c:pt idx="3">
                  <c:v>64.840182648401836</c:v>
                </c:pt>
                <c:pt idx="4">
                  <c:v>71.464992389649922</c:v>
                </c:pt>
                <c:pt idx="5">
                  <c:v>71.474505327245069</c:v>
                </c:pt>
                <c:pt idx="6">
                  <c:v>71.350375422708765</c:v>
                </c:pt>
                <c:pt idx="7">
                  <c:v>72.283105022831052</c:v>
                </c:pt>
                <c:pt idx="8">
                  <c:v>72.268835616438338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v>On-Demand</c:v>
          </c:tx>
          <c:invertIfNegative val="0"/>
          <c:val>
            <c:numRef>
              <c:f>PriceComparisonNormalised!$A$138:$A$147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28544"/>
        <c:axId val="152430080"/>
      </c:barChart>
      <c:catAx>
        <c:axId val="152428544"/>
        <c:scaling>
          <c:orientation val="minMax"/>
        </c:scaling>
        <c:delete val="0"/>
        <c:axPos val="b"/>
        <c:majorTickMark val="out"/>
        <c:minorTickMark val="none"/>
        <c:tickLblPos val="nextTo"/>
        <c:crossAx val="152430080"/>
        <c:crosses val="autoZero"/>
        <c:auto val="1"/>
        <c:lblAlgn val="ctr"/>
        <c:lblOffset val="100"/>
        <c:noMultiLvlLbl val="0"/>
      </c:catAx>
      <c:valAx>
        <c:axId val="152430080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152428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US East Linux Instances Workload over Time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8102668148076588E-2"/>
          <c:y val="0.16239610673665791"/>
          <c:w val="0.73691551132795519"/>
          <c:h val="0.68921660834062404"/>
        </c:manualLayout>
      </c:layout>
      <c:barChart>
        <c:barDir val="col"/>
        <c:grouping val="clustered"/>
        <c:varyColors val="0"/>
        <c:ser>
          <c:idx val="1"/>
          <c:order val="0"/>
          <c:tx>
            <c:v>Workload</c:v>
          </c:tx>
          <c:invertIfNegative val="0"/>
          <c:cat>
            <c:numLit>
              <c:formatCode>General</c:formatCode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</c:numLit>
          </c:cat>
          <c:val>
            <c:numRef>
              <c:f>OnDemandVsReservedExample!$P$5:$P$34</c:f>
              <c:numCache>
                <c:formatCode>General</c:formatCode>
                <c:ptCount val="30"/>
                <c:pt idx="0">
                  <c:v>0.85</c:v>
                </c:pt>
                <c:pt idx="1">
                  <c:v>1.78</c:v>
                </c:pt>
                <c:pt idx="2">
                  <c:v>3</c:v>
                </c:pt>
                <c:pt idx="3">
                  <c:v>2.78</c:v>
                </c:pt>
                <c:pt idx="4">
                  <c:v>2.89</c:v>
                </c:pt>
                <c:pt idx="5">
                  <c:v>3</c:v>
                </c:pt>
                <c:pt idx="6">
                  <c:v>2.56</c:v>
                </c:pt>
                <c:pt idx="7">
                  <c:v>2.35</c:v>
                </c:pt>
                <c:pt idx="8">
                  <c:v>2.2000000000000002</c:v>
                </c:pt>
                <c:pt idx="9">
                  <c:v>2</c:v>
                </c:pt>
                <c:pt idx="10">
                  <c:v>0.9</c:v>
                </c:pt>
                <c:pt idx="11">
                  <c:v>1.5</c:v>
                </c:pt>
                <c:pt idx="12">
                  <c:v>2.67</c:v>
                </c:pt>
                <c:pt idx="13">
                  <c:v>3</c:v>
                </c:pt>
                <c:pt idx="14">
                  <c:v>3.3</c:v>
                </c:pt>
                <c:pt idx="15">
                  <c:v>3.5</c:v>
                </c:pt>
                <c:pt idx="16">
                  <c:v>3.7</c:v>
                </c:pt>
                <c:pt idx="17">
                  <c:v>4</c:v>
                </c:pt>
                <c:pt idx="18">
                  <c:v>3.8</c:v>
                </c:pt>
                <c:pt idx="19">
                  <c:v>3</c:v>
                </c:pt>
                <c:pt idx="20">
                  <c:v>2.65</c:v>
                </c:pt>
                <c:pt idx="21">
                  <c:v>2</c:v>
                </c:pt>
                <c:pt idx="22">
                  <c:v>2.4</c:v>
                </c:pt>
                <c:pt idx="23">
                  <c:v>3</c:v>
                </c:pt>
                <c:pt idx="24">
                  <c:v>2.7</c:v>
                </c:pt>
                <c:pt idx="25">
                  <c:v>2</c:v>
                </c:pt>
                <c:pt idx="26">
                  <c:v>2.8</c:v>
                </c:pt>
                <c:pt idx="27">
                  <c:v>2</c:v>
                </c:pt>
                <c:pt idx="28">
                  <c:v>1.85</c:v>
                </c:pt>
                <c:pt idx="29">
                  <c:v>1.5</c:v>
                </c:pt>
              </c:numCache>
            </c:numRef>
          </c:val>
        </c:ser>
        <c:ser>
          <c:idx val="0"/>
          <c:order val="1"/>
          <c:tx>
            <c:v>Instances Needed</c:v>
          </c:tx>
          <c:invertIfNegative val="0"/>
          <c:val>
            <c:numRef>
              <c:f>OnDemandVsReservedExample!$Q$5:$Q$34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2</c:v>
                </c:pt>
                <c:pt idx="26">
                  <c:v>3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670592"/>
        <c:axId val="152672512"/>
      </c:barChart>
      <c:catAx>
        <c:axId val="152670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(day)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2672512"/>
        <c:crosses val="autoZero"/>
        <c:auto val="1"/>
        <c:lblAlgn val="ctr"/>
        <c:lblOffset val="100"/>
        <c:noMultiLvlLbl val="0"/>
      </c:catAx>
      <c:valAx>
        <c:axId val="152672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Load</a:t>
                </a:r>
                <a:r>
                  <a:rPr lang="en-US" baseline="0"/>
                  <a:t> (instances)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2670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Price</a:t>
            </a:r>
            <a:r>
              <a:rPr lang="en-US" baseline="0"/>
              <a:t> Linux Instances Comparison for US - N. Virginia Region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Spot</c:v>
          </c:tx>
          <c:invertIfNegative val="0"/>
          <c:cat>
            <c:strRef>
              <c:f>PriceComparison!$A$39:$A$49</c:f>
              <c:strCache>
                <c:ptCount val="11"/>
                <c:pt idx="0">
                  <c:v>Standard | Small</c:v>
                </c:pt>
                <c:pt idx="1">
                  <c:v>Standard | Large</c:v>
                </c:pt>
                <c:pt idx="2">
                  <c:v>Standard | Extra Large</c:v>
                </c:pt>
                <c:pt idx="3">
                  <c:v>Micro | Micro</c:v>
                </c:pt>
                <c:pt idx="4">
                  <c:v>High-Memory | Extra Large</c:v>
                </c:pt>
                <c:pt idx="5">
                  <c:v>High-Memory | Double Extra Large</c:v>
                </c:pt>
                <c:pt idx="6">
                  <c:v>High-Memory | Quadruple Extra Large</c:v>
                </c:pt>
                <c:pt idx="7">
                  <c:v>High-CPU | Medium</c:v>
                </c:pt>
                <c:pt idx="8">
                  <c:v>High-CPU | Extra Large</c:v>
                </c:pt>
                <c:pt idx="9">
                  <c:v>Cluster Compute | Quadruple Extra Large</c:v>
                </c:pt>
                <c:pt idx="10">
                  <c:v>Cluster GPU | Quadruple Extra Large</c:v>
                </c:pt>
              </c:strCache>
            </c:strRef>
          </c:cat>
          <c:val>
            <c:numRef>
              <c:f>PriceComparison!$B$39:$B$49</c:f>
              <c:numCache>
                <c:formatCode>0.000</c:formatCode>
                <c:ptCount val="11"/>
                <c:pt idx="0">
                  <c:v>3.6799999999999999E-2</c:v>
                </c:pt>
                <c:pt idx="1">
                  <c:v>0.12820000000000001</c:v>
                </c:pt>
                <c:pt idx="2">
                  <c:v>0.24890000000000001</c:v>
                </c:pt>
                <c:pt idx="3">
                  <c:v>1.23E-2</c:v>
                </c:pt>
                <c:pt idx="4">
                  <c:v>0.1832</c:v>
                </c:pt>
                <c:pt idx="5">
                  <c:v>0.38679999999999998</c:v>
                </c:pt>
                <c:pt idx="6">
                  <c:v>0.76949999999999996</c:v>
                </c:pt>
                <c:pt idx="7">
                  <c:v>6.6699999999999995E-2</c:v>
                </c:pt>
                <c:pt idx="8">
                  <c:v>0.254</c:v>
                </c:pt>
                <c:pt idx="9" formatCode="0.0000">
                  <c:v>0</c:v>
                </c:pt>
                <c:pt idx="10" formatCode="General">
                  <c:v>0</c:v>
                </c:pt>
              </c:numCache>
            </c:numRef>
          </c:val>
        </c:ser>
        <c:ser>
          <c:idx val="1"/>
          <c:order val="1"/>
          <c:tx>
            <c:v>Reserved</c:v>
          </c:tx>
          <c:invertIfNegative val="0"/>
          <c:cat>
            <c:strRef>
              <c:f>PriceComparison!$A$39:$A$49</c:f>
              <c:strCache>
                <c:ptCount val="11"/>
                <c:pt idx="0">
                  <c:v>Standard | Small</c:v>
                </c:pt>
                <c:pt idx="1">
                  <c:v>Standard | Large</c:v>
                </c:pt>
                <c:pt idx="2">
                  <c:v>Standard | Extra Large</c:v>
                </c:pt>
                <c:pt idx="3">
                  <c:v>Micro | Micro</c:v>
                </c:pt>
                <c:pt idx="4">
                  <c:v>High-Memory | Extra Large</c:v>
                </c:pt>
                <c:pt idx="5">
                  <c:v>High-Memory | Double Extra Large</c:v>
                </c:pt>
                <c:pt idx="6">
                  <c:v>High-Memory | Quadruple Extra Large</c:v>
                </c:pt>
                <c:pt idx="7">
                  <c:v>High-CPU | Medium</c:v>
                </c:pt>
                <c:pt idx="8">
                  <c:v>High-CPU | Extra Large</c:v>
                </c:pt>
                <c:pt idx="9">
                  <c:v>Cluster Compute | Quadruple Extra Large</c:v>
                </c:pt>
                <c:pt idx="10">
                  <c:v>Cluster GPU | Quadruple Extra Large</c:v>
                </c:pt>
              </c:strCache>
            </c:strRef>
          </c:cat>
          <c:val>
            <c:numRef>
              <c:f>PriceComparison!$G$71:$G$81</c:f>
              <c:numCache>
                <c:formatCode>0.000</c:formatCode>
                <c:ptCount val="11"/>
                <c:pt idx="0">
                  <c:v>5.5970319634703197E-2</c:v>
                </c:pt>
                <c:pt idx="1">
                  <c:v>0.22388127853881279</c:v>
                </c:pt>
                <c:pt idx="2">
                  <c:v>0.44776255707762558</c:v>
                </c:pt>
                <c:pt idx="3">
                  <c:v>1.3164383561643836E-2</c:v>
                </c:pt>
                <c:pt idx="4">
                  <c:v>0.32125570776255707</c:v>
                </c:pt>
                <c:pt idx="5">
                  <c:v>0.64251141552511415</c:v>
                </c:pt>
                <c:pt idx="6">
                  <c:v>1.2850228310502283</c:v>
                </c:pt>
                <c:pt idx="7">
                  <c:v>0.11194063926940639</c:v>
                </c:pt>
                <c:pt idx="8">
                  <c:v>0.44776255707762558</c:v>
                </c:pt>
                <c:pt idx="9">
                  <c:v>1.0497260273972604</c:v>
                </c:pt>
                <c:pt idx="10">
                  <c:v>1.3826940639269405</c:v>
                </c:pt>
              </c:numCache>
            </c:numRef>
          </c:val>
        </c:ser>
        <c:ser>
          <c:idx val="2"/>
          <c:order val="2"/>
          <c:tx>
            <c:v>On-Demand</c:v>
          </c:tx>
          <c:invertIfNegative val="0"/>
          <c:cat>
            <c:strRef>
              <c:f>PriceComparison!$A$39:$A$49</c:f>
              <c:strCache>
                <c:ptCount val="11"/>
                <c:pt idx="0">
                  <c:v>Standard | Small</c:v>
                </c:pt>
                <c:pt idx="1">
                  <c:v>Standard | Large</c:v>
                </c:pt>
                <c:pt idx="2">
                  <c:v>Standard | Extra Large</c:v>
                </c:pt>
                <c:pt idx="3">
                  <c:v>Micro | Micro</c:v>
                </c:pt>
                <c:pt idx="4">
                  <c:v>High-Memory | Extra Large</c:v>
                </c:pt>
                <c:pt idx="5">
                  <c:v>High-Memory | Double Extra Large</c:v>
                </c:pt>
                <c:pt idx="6">
                  <c:v>High-Memory | Quadruple Extra Large</c:v>
                </c:pt>
                <c:pt idx="7">
                  <c:v>High-CPU | Medium</c:v>
                </c:pt>
                <c:pt idx="8">
                  <c:v>High-CPU | Extra Large</c:v>
                </c:pt>
                <c:pt idx="9">
                  <c:v>Cluster Compute | Quadruple Extra Large</c:v>
                </c:pt>
                <c:pt idx="10">
                  <c:v>Cluster GPU | Quadruple Extra Large</c:v>
                </c:pt>
              </c:strCache>
            </c:strRef>
          </c:cat>
          <c:val>
            <c:numRef>
              <c:f>PriceComparison!$B$7:$B$17</c:f>
              <c:numCache>
                <c:formatCode>0.000</c:formatCode>
                <c:ptCount val="11"/>
                <c:pt idx="0">
                  <c:v>8.5000000000000006E-2</c:v>
                </c:pt>
                <c:pt idx="1">
                  <c:v>0.34</c:v>
                </c:pt>
                <c:pt idx="2">
                  <c:v>0.68</c:v>
                </c:pt>
                <c:pt idx="3">
                  <c:v>0.02</c:v>
                </c:pt>
                <c:pt idx="4">
                  <c:v>0.5</c:v>
                </c:pt>
                <c:pt idx="5">
                  <c:v>1</c:v>
                </c:pt>
                <c:pt idx="6">
                  <c:v>2</c:v>
                </c:pt>
                <c:pt idx="7">
                  <c:v>0.17</c:v>
                </c:pt>
                <c:pt idx="8">
                  <c:v>0.68</c:v>
                </c:pt>
                <c:pt idx="9">
                  <c:v>1.6</c:v>
                </c:pt>
                <c:pt idx="10">
                  <c:v>2.1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163712"/>
        <c:axId val="150011904"/>
      </c:barChart>
      <c:catAx>
        <c:axId val="288163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50011904"/>
        <c:crosses val="autoZero"/>
        <c:auto val="1"/>
        <c:lblAlgn val="ctr"/>
        <c:lblOffset val="100"/>
        <c:noMultiLvlLbl val="0"/>
      </c:catAx>
      <c:valAx>
        <c:axId val="150011904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88163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Price</a:t>
            </a:r>
            <a:r>
              <a:rPr lang="en-US" baseline="0"/>
              <a:t> Linux Instances Comparison for US - N. California Region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Spot</c:v>
          </c:tx>
          <c:invertIfNegative val="0"/>
          <c:cat>
            <c:strRef>
              <c:f>PriceComparison!$A$39:$A$49</c:f>
              <c:strCache>
                <c:ptCount val="11"/>
                <c:pt idx="0">
                  <c:v>Standard | Small</c:v>
                </c:pt>
                <c:pt idx="1">
                  <c:v>Standard | Large</c:v>
                </c:pt>
                <c:pt idx="2">
                  <c:v>Standard | Extra Large</c:v>
                </c:pt>
                <c:pt idx="3">
                  <c:v>Micro | Micro</c:v>
                </c:pt>
                <c:pt idx="4">
                  <c:v>High-Memory | Extra Large</c:v>
                </c:pt>
                <c:pt idx="5">
                  <c:v>High-Memory | Double Extra Large</c:v>
                </c:pt>
                <c:pt idx="6">
                  <c:v>High-Memory | Quadruple Extra Large</c:v>
                </c:pt>
                <c:pt idx="7">
                  <c:v>High-CPU | Medium</c:v>
                </c:pt>
                <c:pt idx="8">
                  <c:v>High-CPU | Extra Large</c:v>
                </c:pt>
                <c:pt idx="9">
                  <c:v>Cluster Compute | Quadruple Extra Large</c:v>
                </c:pt>
                <c:pt idx="10">
                  <c:v>Cluster GPU | Quadruple Extra Large</c:v>
                </c:pt>
              </c:strCache>
            </c:strRef>
          </c:cat>
          <c:val>
            <c:numRef>
              <c:f>PriceComparison!$C$39:$C$49</c:f>
              <c:numCache>
                <c:formatCode>0.000</c:formatCode>
                <c:ptCount val="11"/>
                <c:pt idx="0">
                  <c:v>4.6699999999999998E-2</c:v>
                </c:pt>
                <c:pt idx="1">
                  <c:v>0.16719999999999999</c:v>
                </c:pt>
                <c:pt idx="2">
                  <c:v>0.32669999999999999</c:v>
                </c:pt>
                <c:pt idx="3">
                  <c:v>1.47E-2</c:v>
                </c:pt>
                <c:pt idx="4">
                  <c:v>0.2467</c:v>
                </c:pt>
                <c:pt idx="5">
                  <c:v>0.52700000000000002</c:v>
                </c:pt>
                <c:pt idx="6">
                  <c:v>1.0468</c:v>
                </c:pt>
                <c:pt idx="7">
                  <c:v>8.6699999999999999E-2</c:v>
                </c:pt>
                <c:pt idx="8">
                  <c:v>0.32669999999999999</c:v>
                </c:pt>
                <c:pt idx="9" formatCode="0.0000">
                  <c:v>0</c:v>
                </c:pt>
                <c:pt idx="10" formatCode="General">
                  <c:v>0</c:v>
                </c:pt>
              </c:numCache>
            </c:numRef>
          </c:val>
        </c:ser>
        <c:ser>
          <c:idx val="1"/>
          <c:order val="1"/>
          <c:tx>
            <c:v>Reserved</c:v>
          </c:tx>
          <c:invertIfNegative val="0"/>
          <c:cat>
            <c:strRef>
              <c:f>PriceComparison!$A$39:$A$49</c:f>
              <c:strCache>
                <c:ptCount val="11"/>
                <c:pt idx="0">
                  <c:v>Standard | Small</c:v>
                </c:pt>
                <c:pt idx="1">
                  <c:v>Standard | Large</c:v>
                </c:pt>
                <c:pt idx="2">
                  <c:v>Standard | Extra Large</c:v>
                </c:pt>
                <c:pt idx="3">
                  <c:v>Micro | Micro</c:v>
                </c:pt>
                <c:pt idx="4">
                  <c:v>High-Memory | Extra Large</c:v>
                </c:pt>
                <c:pt idx="5">
                  <c:v>High-Memory | Double Extra Large</c:v>
                </c:pt>
                <c:pt idx="6">
                  <c:v>High-Memory | Quadruple Extra Large</c:v>
                </c:pt>
                <c:pt idx="7">
                  <c:v>High-CPU | Medium</c:v>
                </c:pt>
                <c:pt idx="8">
                  <c:v>High-CPU | Extra Large</c:v>
                </c:pt>
                <c:pt idx="9">
                  <c:v>Cluster Compute | Quadruple Extra Large</c:v>
                </c:pt>
                <c:pt idx="10">
                  <c:v>Cluster GPU | Quadruple Extra Large</c:v>
                </c:pt>
              </c:strCache>
            </c:strRef>
          </c:cat>
          <c:val>
            <c:numRef>
              <c:f>PriceComparison!$H$71:$H$81</c:f>
              <c:numCache>
                <c:formatCode>0.000</c:formatCode>
                <c:ptCount val="11"/>
                <c:pt idx="0">
                  <c:v>6.5970319634703192E-2</c:v>
                </c:pt>
                <c:pt idx="1">
                  <c:v>0.26388127853881277</c:v>
                </c:pt>
                <c:pt idx="2">
                  <c:v>0.52776255707762554</c:v>
                </c:pt>
                <c:pt idx="3">
                  <c:v>1.6164383561643837E-2</c:v>
                </c:pt>
                <c:pt idx="4">
                  <c:v>0.39125570776255708</c:v>
                </c:pt>
                <c:pt idx="5">
                  <c:v>0.78251141552511416</c:v>
                </c:pt>
                <c:pt idx="6">
                  <c:v>1.5650228310502283</c:v>
                </c:pt>
                <c:pt idx="7">
                  <c:v>0.13194063926940638</c:v>
                </c:pt>
                <c:pt idx="8">
                  <c:v>0.52776255707762554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v>On-Demand</c:v>
          </c:tx>
          <c:invertIfNegative val="0"/>
          <c:cat>
            <c:strRef>
              <c:f>PriceComparison!$A$39:$A$49</c:f>
              <c:strCache>
                <c:ptCount val="11"/>
                <c:pt idx="0">
                  <c:v>Standard | Small</c:v>
                </c:pt>
                <c:pt idx="1">
                  <c:v>Standard | Large</c:v>
                </c:pt>
                <c:pt idx="2">
                  <c:v>Standard | Extra Large</c:v>
                </c:pt>
                <c:pt idx="3">
                  <c:v>Micro | Micro</c:v>
                </c:pt>
                <c:pt idx="4">
                  <c:v>High-Memory | Extra Large</c:v>
                </c:pt>
                <c:pt idx="5">
                  <c:v>High-Memory | Double Extra Large</c:v>
                </c:pt>
                <c:pt idx="6">
                  <c:v>High-Memory | Quadruple Extra Large</c:v>
                </c:pt>
                <c:pt idx="7">
                  <c:v>High-CPU | Medium</c:v>
                </c:pt>
                <c:pt idx="8">
                  <c:v>High-CPU | Extra Large</c:v>
                </c:pt>
                <c:pt idx="9">
                  <c:v>Cluster Compute | Quadruple Extra Large</c:v>
                </c:pt>
                <c:pt idx="10">
                  <c:v>Cluster GPU | Quadruple Extra Large</c:v>
                </c:pt>
              </c:strCache>
            </c:strRef>
          </c:cat>
          <c:val>
            <c:numRef>
              <c:f>PriceComparison!$C$7:$C$17</c:f>
              <c:numCache>
                <c:formatCode>0.000</c:formatCode>
                <c:ptCount val="11"/>
                <c:pt idx="0">
                  <c:v>9.5000000000000001E-2</c:v>
                </c:pt>
                <c:pt idx="1">
                  <c:v>0.38</c:v>
                </c:pt>
                <c:pt idx="2">
                  <c:v>0.76</c:v>
                </c:pt>
                <c:pt idx="3">
                  <c:v>2.5000000000000001E-2</c:v>
                </c:pt>
                <c:pt idx="4">
                  <c:v>0.56999999999999995</c:v>
                </c:pt>
                <c:pt idx="5">
                  <c:v>1.1399999999999999</c:v>
                </c:pt>
                <c:pt idx="6">
                  <c:v>2.2799999999999998</c:v>
                </c:pt>
                <c:pt idx="7">
                  <c:v>0.19</c:v>
                </c:pt>
                <c:pt idx="8">
                  <c:v>0.76</c:v>
                </c:pt>
                <c:pt idx="9">
                  <c:v>0</c:v>
                </c:pt>
                <c:pt idx="10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026112"/>
        <c:axId val="150027648"/>
      </c:barChart>
      <c:catAx>
        <c:axId val="150026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50027648"/>
        <c:crosses val="autoZero"/>
        <c:auto val="1"/>
        <c:lblAlgn val="ctr"/>
        <c:lblOffset val="100"/>
        <c:noMultiLvlLbl val="0"/>
      </c:catAx>
      <c:valAx>
        <c:axId val="150027648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50026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Price</a:t>
            </a:r>
            <a:r>
              <a:rPr lang="en-US" baseline="0"/>
              <a:t> Linux Instances Comparison for EU - Ireland Region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Spot</c:v>
          </c:tx>
          <c:invertIfNegative val="0"/>
          <c:cat>
            <c:strRef>
              <c:f>PriceComparison!$A$39:$A$49</c:f>
              <c:strCache>
                <c:ptCount val="11"/>
                <c:pt idx="0">
                  <c:v>Standard | Small</c:v>
                </c:pt>
                <c:pt idx="1">
                  <c:v>Standard | Large</c:v>
                </c:pt>
                <c:pt idx="2">
                  <c:v>Standard | Extra Large</c:v>
                </c:pt>
                <c:pt idx="3">
                  <c:v>Micro | Micro</c:v>
                </c:pt>
                <c:pt idx="4">
                  <c:v>High-Memory | Extra Large</c:v>
                </c:pt>
                <c:pt idx="5">
                  <c:v>High-Memory | Double Extra Large</c:v>
                </c:pt>
                <c:pt idx="6">
                  <c:v>High-Memory | Quadruple Extra Large</c:v>
                </c:pt>
                <c:pt idx="7">
                  <c:v>High-CPU | Medium</c:v>
                </c:pt>
                <c:pt idx="8">
                  <c:v>High-CPU | Extra Large</c:v>
                </c:pt>
                <c:pt idx="9">
                  <c:v>Cluster Compute | Quadruple Extra Large</c:v>
                </c:pt>
                <c:pt idx="10">
                  <c:v>Cluster GPU | Quadruple Extra Large</c:v>
                </c:pt>
              </c:strCache>
            </c:strRef>
          </c:cat>
          <c:val>
            <c:numRef>
              <c:f>PriceComparison!$D$39:$D$49</c:f>
              <c:numCache>
                <c:formatCode>0.000</c:formatCode>
                <c:ptCount val="11"/>
                <c:pt idx="0">
                  <c:v>4.6899999999999997E-2</c:v>
                </c:pt>
                <c:pt idx="1">
                  <c:v>0.16669999999999999</c:v>
                </c:pt>
                <c:pt idx="2">
                  <c:v>0.32719999999999999</c:v>
                </c:pt>
                <c:pt idx="3">
                  <c:v>1.3100000000000001E-2</c:v>
                </c:pt>
                <c:pt idx="4">
                  <c:v>0.247</c:v>
                </c:pt>
                <c:pt idx="5">
                  <c:v>0.52700000000000002</c:v>
                </c:pt>
                <c:pt idx="6">
                  <c:v>1.05</c:v>
                </c:pt>
                <c:pt idx="7">
                  <c:v>8.6499999999999994E-2</c:v>
                </c:pt>
                <c:pt idx="8">
                  <c:v>0.32690000000000002</c:v>
                </c:pt>
                <c:pt idx="9" formatCode="0.0000">
                  <c:v>0</c:v>
                </c:pt>
                <c:pt idx="10" formatCode="General">
                  <c:v>0</c:v>
                </c:pt>
              </c:numCache>
            </c:numRef>
          </c:val>
        </c:ser>
        <c:ser>
          <c:idx val="1"/>
          <c:order val="1"/>
          <c:tx>
            <c:v>Reserved</c:v>
          </c:tx>
          <c:invertIfNegative val="0"/>
          <c:cat>
            <c:strRef>
              <c:f>PriceComparison!$A$39:$A$49</c:f>
              <c:strCache>
                <c:ptCount val="11"/>
                <c:pt idx="0">
                  <c:v>Standard | Small</c:v>
                </c:pt>
                <c:pt idx="1">
                  <c:v>Standard | Large</c:v>
                </c:pt>
                <c:pt idx="2">
                  <c:v>Standard | Extra Large</c:v>
                </c:pt>
                <c:pt idx="3">
                  <c:v>Micro | Micro</c:v>
                </c:pt>
                <c:pt idx="4">
                  <c:v>High-Memory | Extra Large</c:v>
                </c:pt>
                <c:pt idx="5">
                  <c:v>High-Memory | Double Extra Large</c:v>
                </c:pt>
                <c:pt idx="6">
                  <c:v>High-Memory | Quadruple Extra Large</c:v>
                </c:pt>
                <c:pt idx="7">
                  <c:v>High-CPU | Medium</c:v>
                </c:pt>
                <c:pt idx="8">
                  <c:v>High-CPU | Extra Large</c:v>
                </c:pt>
                <c:pt idx="9">
                  <c:v>Cluster Compute | Quadruple Extra Large</c:v>
                </c:pt>
                <c:pt idx="10">
                  <c:v>Cluster GPU | Quadruple Extra Large</c:v>
                </c:pt>
              </c:strCache>
            </c:strRef>
          </c:cat>
          <c:val>
            <c:numRef>
              <c:f>PriceComparison!$I$71:$I$81</c:f>
              <c:numCache>
                <c:formatCode>0.000</c:formatCode>
                <c:ptCount val="11"/>
                <c:pt idx="0">
                  <c:v>6.5970319634703192E-2</c:v>
                </c:pt>
                <c:pt idx="1">
                  <c:v>0.26388127853881277</c:v>
                </c:pt>
                <c:pt idx="2">
                  <c:v>0.52776255707762554</c:v>
                </c:pt>
                <c:pt idx="3">
                  <c:v>1.6164383561643837E-2</c:v>
                </c:pt>
                <c:pt idx="4">
                  <c:v>0.39125570776255708</c:v>
                </c:pt>
                <c:pt idx="5">
                  <c:v>0.78251141552511416</c:v>
                </c:pt>
                <c:pt idx="6">
                  <c:v>1.5650228310502283</c:v>
                </c:pt>
                <c:pt idx="7">
                  <c:v>0.13194063926940638</c:v>
                </c:pt>
                <c:pt idx="8">
                  <c:v>0.52776255707762554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v>On-Demand</c:v>
          </c:tx>
          <c:invertIfNegative val="0"/>
          <c:cat>
            <c:strRef>
              <c:f>PriceComparison!$A$39:$A$49</c:f>
              <c:strCache>
                <c:ptCount val="11"/>
                <c:pt idx="0">
                  <c:v>Standard | Small</c:v>
                </c:pt>
                <c:pt idx="1">
                  <c:v>Standard | Large</c:v>
                </c:pt>
                <c:pt idx="2">
                  <c:v>Standard | Extra Large</c:v>
                </c:pt>
                <c:pt idx="3">
                  <c:v>Micro | Micro</c:v>
                </c:pt>
                <c:pt idx="4">
                  <c:v>High-Memory | Extra Large</c:v>
                </c:pt>
                <c:pt idx="5">
                  <c:v>High-Memory | Double Extra Large</c:v>
                </c:pt>
                <c:pt idx="6">
                  <c:v>High-Memory | Quadruple Extra Large</c:v>
                </c:pt>
                <c:pt idx="7">
                  <c:v>High-CPU | Medium</c:v>
                </c:pt>
                <c:pt idx="8">
                  <c:v>High-CPU | Extra Large</c:v>
                </c:pt>
                <c:pt idx="9">
                  <c:v>Cluster Compute | Quadruple Extra Large</c:v>
                </c:pt>
                <c:pt idx="10">
                  <c:v>Cluster GPU | Quadruple Extra Large</c:v>
                </c:pt>
              </c:strCache>
            </c:strRef>
          </c:cat>
          <c:val>
            <c:numRef>
              <c:f>PriceComparison!$D$7:$D$17</c:f>
              <c:numCache>
                <c:formatCode>0.000</c:formatCode>
                <c:ptCount val="11"/>
                <c:pt idx="0">
                  <c:v>9.5000000000000001E-2</c:v>
                </c:pt>
                <c:pt idx="1">
                  <c:v>0.38</c:v>
                </c:pt>
                <c:pt idx="2">
                  <c:v>0.76</c:v>
                </c:pt>
                <c:pt idx="3">
                  <c:v>2.5000000000000001E-2</c:v>
                </c:pt>
                <c:pt idx="4">
                  <c:v>0.56999999999999995</c:v>
                </c:pt>
                <c:pt idx="5">
                  <c:v>1.1399999999999999</c:v>
                </c:pt>
                <c:pt idx="6">
                  <c:v>2.2799999999999998</c:v>
                </c:pt>
                <c:pt idx="7">
                  <c:v>0.19</c:v>
                </c:pt>
                <c:pt idx="8">
                  <c:v>0.76</c:v>
                </c:pt>
                <c:pt idx="9">
                  <c:v>0</c:v>
                </c:pt>
                <c:pt idx="10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042112"/>
        <c:axId val="150043648"/>
      </c:barChart>
      <c:catAx>
        <c:axId val="150042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50043648"/>
        <c:crosses val="autoZero"/>
        <c:auto val="1"/>
        <c:lblAlgn val="ctr"/>
        <c:lblOffset val="100"/>
        <c:noMultiLvlLbl val="0"/>
      </c:catAx>
      <c:valAx>
        <c:axId val="150043648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50042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Price</a:t>
            </a:r>
            <a:r>
              <a:rPr lang="en-US" baseline="0"/>
              <a:t> Linux Instances Comparison for APAC - Singapore Region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Spot</c:v>
          </c:tx>
          <c:invertIfNegative val="0"/>
          <c:cat>
            <c:strRef>
              <c:f>PriceComparison!$A$39:$A$49</c:f>
              <c:strCache>
                <c:ptCount val="11"/>
                <c:pt idx="0">
                  <c:v>Standard | Small</c:v>
                </c:pt>
                <c:pt idx="1">
                  <c:v>Standard | Large</c:v>
                </c:pt>
                <c:pt idx="2">
                  <c:v>Standard | Extra Large</c:v>
                </c:pt>
                <c:pt idx="3">
                  <c:v>Micro | Micro</c:v>
                </c:pt>
                <c:pt idx="4">
                  <c:v>High-Memory | Extra Large</c:v>
                </c:pt>
                <c:pt idx="5">
                  <c:v>High-Memory | Double Extra Large</c:v>
                </c:pt>
                <c:pt idx="6">
                  <c:v>High-Memory | Quadruple Extra Large</c:v>
                </c:pt>
                <c:pt idx="7">
                  <c:v>High-CPU | Medium</c:v>
                </c:pt>
                <c:pt idx="8">
                  <c:v>High-CPU | Extra Large</c:v>
                </c:pt>
                <c:pt idx="9">
                  <c:v>Cluster Compute | Quadruple Extra Large</c:v>
                </c:pt>
                <c:pt idx="10">
                  <c:v>Cluster GPU | Quadruple Extra Large</c:v>
                </c:pt>
              </c:strCache>
            </c:strRef>
          </c:cat>
          <c:val>
            <c:numRef>
              <c:f>PriceComparison!$E$39:$E$49</c:f>
              <c:numCache>
                <c:formatCode>0.000</c:formatCode>
                <c:ptCount val="11"/>
                <c:pt idx="0">
                  <c:v>4.6800000000000001E-2</c:v>
                </c:pt>
                <c:pt idx="1">
                  <c:v>0.1663</c:v>
                </c:pt>
                <c:pt idx="2">
                  <c:v>0.32617000000000002</c:v>
                </c:pt>
                <c:pt idx="3">
                  <c:v>1.3299999999999999E-2</c:v>
                </c:pt>
                <c:pt idx="4">
                  <c:v>0.2467</c:v>
                </c:pt>
                <c:pt idx="5">
                  <c:v>0.52669999999999995</c:v>
                </c:pt>
                <c:pt idx="6">
                  <c:v>1.0476000000000001</c:v>
                </c:pt>
                <c:pt idx="7">
                  <c:v>8.6499999999999994E-2</c:v>
                </c:pt>
                <c:pt idx="8">
                  <c:v>0.32869999999999999</c:v>
                </c:pt>
                <c:pt idx="9" formatCode="0.0000">
                  <c:v>0</c:v>
                </c:pt>
                <c:pt idx="10" formatCode="General">
                  <c:v>0</c:v>
                </c:pt>
              </c:numCache>
            </c:numRef>
          </c:val>
        </c:ser>
        <c:ser>
          <c:idx val="1"/>
          <c:order val="1"/>
          <c:tx>
            <c:v>Reserved</c:v>
          </c:tx>
          <c:invertIfNegative val="0"/>
          <c:cat>
            <c:strRef>
              <c:f>PriceComparison!$A$39:$A$49</c:f>
              <c:strCache>
                <c:ptCount val="11"/>
                <c:pt idx="0">
                  <c:v>Standard | Small</c:v>
                </c:pt>
                <c:pt idx="1">
                  <c:v>Standard | Large</c:v>
                </c:pt>
                <c:pt idx="2">
                  <c:v>Standard | Extra Large</c:v>
                </c:pt>
                <c:pt idx="3">
                  <c:v>Micro | Micro</c:v>
                </c:pt>
                <c:pt idx="4">
                  <c:v>High-Memory | Extra Large</c:v>
                </c:pt>
                <c:pt idx="5">
                  <c:v>High-Memory | Double Extra Large</c:v>
                </c:pt>
                <c:pt idx="6">
                  <c:v>High-Memory | Quadruple Extra Large</c:v>
                </c:pt>
                <c:pt idx="7">
                  <c:v>High-CPU | Medium</c:v>
                </c:pt>
                <c:pt idx="8">
                  <c:v>High-CPU | Extra Large</c:v>
                </c:pt>
                <c:pt idx="9">
                  <c:v>Cluster Compute | Quadruple Extra Large</c:v>
                </c:pt>
                <c:pt idx="10">
                  <c:v>Cluster GPU | Quadruple Extra Large</c:v>
                </c:pt>
              </c:strCache>
            </c:strRef>
          </c:cat>
          <c:val>
            <c:numRef>
              <c:f>PriceComparison!$J$71:$J$81</c:f>
              <c:numCache>
                <c:formatCode>0.000</c:formatCode>
                <c:ptCount val="11"/>
                <c:pt idx="0">
                  <c:v>6.5970319634703192E-2</c:v>
                </c:pt>
                <c:pt idx="1">
                  <c:v>0.26388127853881277</c:v>
                </c:pt>
                <c:pt idx="2">
                  <c:v>0.52776255707762554</c:v>
                </c:pt>
                <c:pt idx="3">
                  <c:v>1.6164383561643837E-2</c:v>
                </c:pt>
                <c:pt idx="4">
                  <c:v>0.39125570776255708</c:v>
                </c:pt>
                <c:pt idx="5">
                  <c:v>0.78251141552511416</c:v>
                </c:pt>
                <c:pt idx="6">
                  <c:v>1.5650228310502283</c:v>
                </c:pt>
                <c:pt idx="7">
                  <c:v>0.13194063926940638</c:v>
                </c:pt>
                <c:pt idx="8">
                  <c:v>0.52776255707762554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v>On-Demand</c:v>
          </c:tx>
          <c:invertIfNegative val="0"/>
          <c:cat>
            <c:strRef>
              <c:f>PriceComparison!$A$39:$A$49</c:f>
              <c:strCache>
                <c:ptCount val="11"/>
                <c:pt idx="0">
                  <c:v>Standard | Small</c:v>
                </c:pt>
                <c:pt idx="1">
                  <c:v>Standard | Large</c:v>
                </c:pt>
                <c:pt idx="2">
                  <c:v>Standard | Extra Large</c:v>
                </c:pt>
                <c:pt idx="3">
                  <c:v>Micro | Micro</c:v>
                </c:pt>
                <c:pt idx="4">
                  <c:v>High-Memory | Extra Large</c:v>
                </c:pt>
                <c:pt idx="5">
                  <c:v>High-Memory | Double Extra Large</c:v>
                </c:pt>
                <c:pt idx="6">
                  <c:v>High-Memory | Quadruple Extra Large</c:v>
                </c:pt>
                <c:pt idx="7">
                  <c:v>High-CPU | Medium</c:v>
                </c:pt>
                <c:pt idx="8">
                  <c:v>High-CPU | Extra Large</c:v>
                </c:pt>
                <c:pt idx="9">
                  <c:v>Cluster Compute | Quadruple Extra Large</c:v>
                </c:pt>
                <c:pt idx="10">
                  <c:v>Cluster GPU | Quadruple Extra Large</c:v>
                </c:pt>
              </c:strCache>
            </c:strRef>
          </c:cat>
          <c:val>
            <c:numRef>
              <c:f>PriceComparison!$E$7:$E$17</c:f>
              <c:numCache>
                <c:formatCode>0.000</c:formatCode>
                <c:ptCount val="11"/>
                <c:pt idx="0">
                  <c:v>9.5000000000000001E-2</c:v>
                </c:pt>
                <c:pt idx="1">
                  <c:v>0.38</c:v>
                </c:pt>
                <c:pt idx="2">
                  <c:v>0.76</c:v>
                </c:pt>
                <c:pt idx="3">
                  <c:v>2.5000000000000001E-2</c:v>
                </c:pt>
                <c:pt idx="4">
                  <c:v>0.56999999999999995</c:v>
                </c:pt>
                <c:pt idx="5">
                  <c:v>1.1399999999999999</c:v>
                </c:pt>
                <c:pt idx="6">
                  <c:v>2.2799999999999998</c:v>
                </c:pt>
                <c:pt idx="7">
                  <c:v>0.19</c:v>
                </c:pt>
                <c:pt idx="8">
                  <c:v>0.76</c:v>
                </c:pt>
                <c:pt idx="9">
                  <c:v>0</c:v>
                </c:pt>
                <c:pt idx="10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07264"/>
        <c:axId val="150108800"/>
      </c:barChart>
      <c:catAx>
        <c:axId val="150107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50108800"/>
        <c:crosses val="autoZero"/>
        <c:auto val="1"/>
        <c:lblAlgn val="ctr"/>
        <c:lblOffset val="100"/>
        <c:noMultiLvlLbl val="0"/>
      </c:catAx>
      <c:valAx>
        <c:axId val="150108800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50107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Price</a:t>
            </a:r>
            <a:r>
              <a:rPr lang="en-US" baseline="0"/>
              <a:t> Linux Instances Comparison for APAC - Tokyo Region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Spot</c:v>
          </c:tx>
          <c:invertIfNegative val="0"/>
          <c:cat>
            <c:strRef>
              <c:f>PriceComparison!$A$39:$A$49</c:f>
              <c:strCache>
                <c:ptCount val="11"/>
                <c:pt idx="0">
                  <c:v>Standard | Small</c:v>
                </c:pt>
                <c:pt idx="1">
                  <c:v>Standard | Large</c:v>
                </c:pt>
                <c:pt idx="2">
                  <c:v>Standard | Extra Large</c:v>
                </c:pt>
                <c:pt idx="3">
                  <c:v>Micro | Micro</c:v>
                </c:pt>
                <c:pt idx="4">
                  <c:v>High-Memory | Extra Large</c:v>
                </c:pt>
                <c:pt idx="5">
                  <c:v>High-Memory | Double Extra Large</c:v>
                </c:pt>
                <c:pt idx="6">
                  <c:v>High-Memory | Quadruple Extra Large</c:v>
                </c:pt>
                <c:pt idx="7">
                  <c:v>High-CPU | Medium</c:v>
                </c:pt>
                <c:pt idx="8">
                  <c:v>High-CPU | Extra Large</c:v>
                </c:pt>
                <c:pt idx="9">
                  <c:v>Cluster Compute | Quadruple Extra Large</c:v>
                </c:pt>
                <c:pt idx="10">
                  <c:v>Cluster GPU | Quadruple Extra Large</c:v>
                </c:pt>
              </c:strCache>
            </c:strRef>
          </c:cat>
          <c:val>
            <c:numRef>
              <c:f>PriceComparison!$F$39:$F$49</c:f>
              <c:numCache>
                <c:formatCode>0.000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</c:numCache>
            </c:numRef>
          </c:val>
        </c:ser>
        <c:ser>
          <c:idx val="1"/>
          <c:order val="1"/>
          <c:tx>
            <c:v>Reserved</c:v>
          </c:tx>
          <c:invertIfNegative val="0"/>
          <c:cat>
            <c:strRef>
              <c:f>PriceComparison!$A$39:$A$49</c:f>
              <c:strCache>
                <c:ptCount val="11"/>
                <c:pt idx="0">
                  <c:v>Standard | Small</c:v>
                </c:pt>
                <c:pt idx="1">
                  <c:v>Standard | Large</c:v>
                </c:pt>
                <c:pt idx="2">
                  <c:v>Standard | Extra Large</c:v>
                </c:pt>
                <c:pt idx="3">
                  <c:v>Micro | Micro</c:v>
                </c:pt>
                <c:pt idx="4">
                  <c:v>High-Memory | Extra Large</c:v>
                </c:pt>
                <c:pt idx="5">
                  <c:v>High-Memory | Double Extra Large</c:v>
                </c:pt>
                <c:pt idx="6">
                  <c:v>High-Memory | Quadruple Extra Large</c:v>
                </c:pt>
                <c:pt idx="7">
                  <c:v>High-CPU | Medium</c:v>
                </c:pt>
                <c:pt idx="8">
                  <c:v>High-CPU | Extra Large</c:v>
                </c:pt>
                <c:pt idx="9">
                  <c:v>Cluster Compute | Quadruple Extra Large</c:v>
                </c:pt>
                <c:pt idx="10">
                  <c:v>Cluster GPU | Quadruple Extra Large</c:v>
                </c:pt>
              </c:strCache>
            </c:strRef>
          </c:cat>
          <c:val>
            <c:numRef>
              <c:f>PriceComparison!$D$101:$D$111</c:f>
              <c:numCache>
                <c:formatCode>0.000</c:formatCode>
                <c:ptCount val="11"/>
                <c:pt idx="0">
                  <c:v>2.7283105022831051E-2</c:v>
                </c:pt>
                <c:pt idx="1">
                  <c:v>0.10913242009132421</c:v>
                </c:pt>
                <c:pt idx="2">
                  <c:v>0.21815068493150686</c:v>
                </c:pt>
                <c:pt idx="3">
                  <c:v>6.5068493150684933E-3</c:v>
                </c:pt>
                <c:pt idx="4">
                  <c:v>0.15878995433789955</c:v>
                </c:pt>
                <c:pt idx="5">
                  <c:v>0.31769406392694066</c:v>
                </c:pt>
                <c:pt idx="6">
                  <c:v>0.63527397260273977</c:v>
                </c:pt>
                <c:pt idx="7">
                  <c:v>5.4566210045662103E-2</c:v>
                </c:pt>
                <c:pt idx="8">
                  <c:v>0.21815068493150686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v>On-Demand</c:v>
          </c:tx>
          <c:invertIfNegative val="0"/>
          <c:cat>
            <c:strRef>
              <c:f>PriceComparison!$A$39:$A$49</c:f>
              <c:strCache>
                <c:ptCount val="11"/>
                <c:pt idx="0">
                  <c:v>Standard | Small</c:v>
                </c:pt>
                <c:pt idx="1">
                  <c:v>Standard | Large</c:v>
                </c:pt>
                <c:pt idx="2">
                  <c:v>Standard | Extra Large</c:v>
                </c:pt>
                <c:pt idx="3">
                  <c:v>Micro | Micro</c:v>
                </c:pt>
                <c:pt idx="4">
                  <c:v>High-Memory | Extra Large</c:v>
                </c:pt>
                <c:pt idx="5">
                  <c:v>High-Memory | Double Extra Large</c:v>
                </c:pt>
                <c:pt idx="6">
                  <c:v>High-Memory | Quadruple Extra Large</c:v>
                </c:pt>
                <c:pt idx="7">
                  <c:v>High-CPU | Medium</c:v>
                </c:pt>
                <c:pt idx="8">
                  <c:v>High-CPU | Extra Large</c:v>
                </c:pt>
                <c:pt idx="9">
                  <c:v>Cluster Compute | Quadruple Extra Large</c:v>
                </c:pt>
                <c:pt idx="10">
                  <c:v>Cluster GPU | Quadruple Extra Large</c:v>
                </c:pt>
              </c:strCache>
            </c:strRef>
          </c:cat>
          <c:val>
            <c:numRef>
              <c:f>PriceComparison!$F$7:$F$17</c:f>
              <c:numCache>
                <c:formatCode>0.000</c:formatCode>
                <c:ptCount val="11"/>
                <c:pt idx="0">
                  <c:v>0.1</c:v>
                </c:pt>
                <c:pt idx="1">
                  <c:v>0.4</c:v>
                </c:pt>
                <c:pt idx="2">
                  <c:v>0.8</c:v>
                </c:pt>
                <c:pt idx="3">
                  <c:v>2.7E-2</c:v>
                </c:pt>
                <c:pt idx="4">
                  <c:v>0.6</c:v>
                </c:pt>
                <c:pt idx="5">
                  <c:v>1.2</c:v>
                </c:pt>
                <c:pt idx="6">
                  <c:v>2.39</c:v>
                </c:pt>
                <c:pt idx="7">
                  <c:v>0.2</c:v>
                </c:pt>
                <c:pt idx="8">
                  <c:v>0.8</c:v>
                </c:pt>
                <c:pt idx="9" formatCode="General">
                  <c:v>0</c:v>
                </c:pt>
                <c:pt idx="10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27360"/>
        <c:axId val="150128896"/>
      </c:barChart>
      <c:catAx>
        <c:axId val="150127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50128896"/>
        <c:crosses val="autoZero"/>
        <c:auto val="1"/>
        <c:lblAlgn val="ctr"/>
        <c:lblOffset val="100"/>
        <c:noMultiLvlLbl val="0"/>
      </c:catAx>
      <c:valAx>
        <c:axId val="15012889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50127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Linux Instances Comparison for US - N. Virginia Region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Spot</c:v>
          </c:tx>
          <c:invertIfNegative val="0"/>
          <c:cat>
            <c:strRef>
              <c:f>PriceComparison!$A$39:$A$48</c:f>
              <c:strCache>
                <c:ptCount val="10"/>
                <c:pt idx="0">
                  <c:v>Standard | Small</c:v>
                </c:pt>
                <c:pt idx="1">
                  <c:v>Standard | Large</c:v>
                </c:pt>
                <c:pt idx="2">
                  <c:v>Standard | Extra Large</c:v>
                </c:pt>
                <c:pt idx="3">
                  <c:v>Micro | Micro</c:v>
                </c:pt>
                <c:pt idx="4">
                  <c:v>High-Memory | Extra Large</c:v>
                </c:pt>
                <c:pt idx="5">
                  <c:v>High-Memory | Double Extra Large</c:v>
                </c:pt>
                <c:pt idx="6">
                  <c:v>High-Memory | Quadruple Extra Large</c:v>
                </c:pt>
                <c:pt idx="7">
                  <c:v>High-CPU | Medium</c:v>
                </c:pt>
                <c:pt idx="8">
                  <c:v>High-CPU | Extra Large</c:v>
                </c:pt>
                <c:pt idx="9">
                  <c:v>Cluster Compute | Quadruple Extra Large</c:v>
                </c:pt>
              </c:strCache>
            </c:strRef>
          </c:cat>
          <c:val>
            <c:numRef>
              <c:f>PriceComparisonNormalised!$C$5:$C$15</c:f>
              <c:numCache>
                <c:formatCode>General</c:formatCode>
                <c:ptCount val="11"/>
                <c:pt idx="0">
                  <c:v>43.294117647058819</c:v>
                </c:pt>
                <c:pt idx="1">
                  <c:v>37.705882352941181</c:v>
                </c:pt>
                <c:pt idx="2">
                  <c:v>36.602941176470587</c:v>
                </c:pt>
                <c:pt idx="3">
                  <c:v>61.5</c:v>
                </c:pt>
                <c:pt idx="4">
                  <c:v>36.64</c:v>
                </c:pt>
                <c:pt idx="5">
                  <c:v>38.68</c:v>
                </c:pt>
                <c:pt idx="6">
                  <c:v>38.475000000000001</c:v>
                </c:pt>
                <c:pt idx="7">
                  <c:v>39.235294117647051</c:v>
                </c:pt>
                <c:pt idx="8">
                  <c:v>37.352941176470587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v>Reserved</c:v>
          </c:tx>
          <c:invertIfNegative val="0"/>
          <c:val>
            <c:numRef>
              <c:f>PriceComparisonNormalised!$B$5:$B$15</c:f>
              <c:numCache>
                <c:formatCode>General</c:formatCode>
                <c:ptCount val="11"/>
                <c:pt idx="0">
                  <c:v>65.8474348643567</c:v>
                </c:pt>
                <c:pt idx="1">
                  <c:v>65.8474348643567</c:v>
                </c:pt>
                <c:pt idx="2">
                  <c:v>65.8474348643567</c:v>
                </c:pt>
                <c:pt idx="3">
                  <c:v>65.821917808219183</c:v>
                </c:pt>
                <c:pt idx="4">
                  <c:v>64.251141552511413</c:v>
                </c:pt>
                <c:pt idx="5">
                  <c:v>64.251141552511413</c:v>
                </c:pt>
                <c:pt idx="6">
                  <c:v>64.251141552511413</c:v>
                </c:pt>
                <c:pt idx="7">
                  <c:v>65.8474348643567</c:v>
                </c:pt>
                <c:pt idx="8">
                  <c:v>65.8474348643567</c:v>
                </c:pt>
                <c:pt idx="9">
                  <c:v>65.607876712328775</c:v>
                </c:pt>
                <c:pt idx="10">
                  <c:v>65.842574472711448</c:v>
                </c:pt>
              </c:numCache>
            </c:numRef>
          </c:val>
        </c:ser>
        <c:ser>
          <c:idx val="2"/>
          <c:order val="2"/>
          <c:tx>
            <c:v>On-Demand</c:v>
          </c:tx>
          <c:invertIfNegative val="0"/>
          <c:val>
            <c:numRef>
              <c:f>PriceComparisonNormalised!$A$5:$A$15</c:f>
              <c:numCache>
                <c:formatCode>General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225280"/>
        <c:axId val="152226816"/>
      </c:barChart>
      <c:catAx>
        <c:axId val="152225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52226816"/>
        <c:crosses val="autoZero"/>
        <c:auto val="1"/>
        <c:lblAlgn val="ctr"/>
        <c:lblOffset val="100"/>
        <c:noMultiLvlLbl val="0"/>
      </c:catAx>
      <c:valAx>
        <c:axId val="152226816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152225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Linux Instances Comparison for US - N. California Region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Spot</c:v>
          </c:tx>
          <c:invertIfNegative val="0"/>
          <c:cat>
            <c:strRef>
              <c:f>PriceComparison!$A$39:$A$48</c:f>
              <c:strCache>
                <c:ptCount val="10"/>
                <c:pt idx="0">
                  <c:v>Standard | Small</c:v>
                </c:pt>
                <c:pt idx="1">
                  <c:v>Standard | Large</c:v>
                </c:pt>
                <c:pt idx="2">
                  <c:v>Standard | Extra Large</c:v>
                </c:pt>
                <c:pt idx="3">
                  <c:v>Micro | Micro</c:v>
                </c:pt>
                <c:pt idx="4">
                  <c:v>High-Memory | Extra Large</c:v>
                </c:pt>
                <c:pt idx="5">
                  <c:v>High-Memory | Double Extra Large</c:v>
                </c:pt>
                <c:pt idx="6">
                  <c:v>High-Memory | Quadruple Extra Large</c:v>
                </c:pt>
                <c:pt idx="7">
                  <c:v>High-CPU | Medium</c:v>
                </c:pt>
                <c:pt idx="8">
                  <c:v>High-CPU | Extra Large</c:v>
                </c:pt>
                <c:pt idx="9">
                  <c:v>Cluster Compute | Quadruple Extra Large</c:v>
                </c:pt>
              </c:strCache>
            </c:strRef>
          </c:cat>
          <c:val>
            <c:numRef>
              <c:f>PriceComparisonNormalised!$C$40:$C$49</c:f>
              <c:numCache>
                <c:formatCode>General</c:formatCode>
                <c:ptCount val="10"/>
                <c:pt idx="0">
                  <c:v>49.157894736842103</c:v>
                </c:pt>
                <c:pt idx="1">
                  <c:v>43.999999999999993</c:v>
                </c:pt>
                <c:pt idx="2">
                  <c:v>42.986842105263158</c:v>
                </c:pt>
                <c:pt idx="3">
                  <c:v>58.8</c:v>
                </c:pt>
                <c:pt idx="4">
                  <c:v>43.280701754385973</c:v>
                </c:pt>
                <c:pt idx="5">
                  <c:v>46.228070175438603</c:v>
                </c:pt>
                <c:pt idx="6">
                  <c:v>45.912280701754391</c:v>
                </c:pt>
                <c:pt idx="7">
                  <c:v>45.631578947368418</c:v>
                </c:pt>
                <c:pt idx="8">
                  <c:v>42.986842105263158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v>Reserved</c:v>
          </c:tx>
          <c:invertIfNegative val="0"/>
          <c:val>
            <c:numRef>
              <c:f>PriceComparisonNormalised!$B$40:$B$49</c:f>
              <c:numCache>
                <c:formatCode>General</c:formatCode>
                <c:ptCount val="10"/>
                <c:pt idx="0">
                  <c:v>69.442441720740206</c:v>
                </c:pt>
                <c:pt idx="1">
                  <c:v>69.442441720740206</c:v>
                </c:pt>
                <c:pt idx="2">
                  <c:v>69.442441720740206</c:v>
                </c:pt>
                <c:pt idx="3">
                  <c:v>64.657534246575338</c:v>
                </c:pt>
                <c:pt idx="4">
                  <c:v>68.641352239045105</c:v>
                </c:pt>
                <c:pt idx="5">
                  <c:v>68.641352239045105</c:v>
                </c:pt>
                <c:pt idx="6">
                  <c:v>68.641352239045105</c:v>
                </c:pt>
                <c:pt idx="7">
                  <c:v>69.442441720740206</c:v>
                </c:pt>
                <c:pt idx="8">
                  <c:v>69.442441720740206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v>On-Demand</c:v>
          </c:tx>
          <c:invertIfNegative val="0"/>
          <c:val>
            <c:numRef>
              <c:f>PriceComparisonNormalised!$A$40:$A$49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319104"/>
        <c:axId val="152320640"/>
      </c:barChart>
      <c:catAx>
        <c:axId val="152319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52320640"/>
        <c:crosses val="autoZero"/>
        <c:auto val="1"/>
        <c:lblAlgn val="ctr"/>
        <c:lblOffset val="100"/>
        <c:noMultiLvlLbl val="0"/>
      </c:catAx>
      <c:valAx>
        <c:axId val="152320640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152319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Linux Instances Comparison for EU - Ireland Region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Spot</c:v>
          </c:tx>
          <c:invertIfNegative val="0"/>
          <c:cat>
            <c:strRef>
              <c:f>PriceComparison!$A$39:$A$48</c:f>
              <c:strCache>
                <c:ptCount val="10"/>
                <c:pt idx="0">
                  <c:v>Standard | Small</c:v>
                </c:pt>
                <c:pt idx="1">
                  <c:v>Standard | Large</c:v>
                </c:pt>
                <c:pt idx="2">
                  <c:v>Standard | Extra Large</c:v>
                </c:pt>
                <c:pt idx="3">
                  <c:v>Micro | Micro</c:v>
                </c:pt>
                <c:pt idx="4">
                  <c:v>High-Memory | Extra Large</c:v>
                </c:pt>
                <c:pt idx="5">
                  <c:v>High-Memory | Double Extra Large</c:v>
                </c:pt>
                <c:pt idx="6">
                  <c:v>High-Memory | Quadruple Extra Large</c:v>
                </c:pt>
                <c:pt idx="7">
                  <c:v>High-CPU | Medium</c:v>
                </c:pt>
                <c:pt idx="8">
                  <c:v>High-CPU | Extra Large</c:v>
                </c:pt>
                <c:pt idx="9">
                  <c:v>Cluster Compute | Quadruple Extra Large</c:v>
                </c:pt>
              </c:strCache>
            </c:strRef>
          </c:cat>
          <c:val>
            <c:numRef>
              <c:f>PriceComparisonNormalised!$C$73:$C$82</c:f>
              <c:numCache>
                <c:formatCode>General</c:formatCode>
                <c:ptCount val="10"/>
                <c:pt idx="0">
                  <c:v>49.368421052631575</c:v>
                </c:pt>
                <c:pt idx="1">
                  <c:v>43.868421052631575</c:v>
                </c:pt>
                <c:pt idx="2">
                  <c:v>43.052631578947363</c:v>
                </c:pt>
                <c:pt idx="3">
                  <c:v>52.400000000000006</c:v>
                </c:pt>
                <c:pt idx="4">
                  <c:v>43.333333333333336</c:v>
                </c:pt>
                <c:pt idx="5">
                  <c:v>46.228070175438603</c:v>
                </c:pt>
                <c:pt idx="6">
                  <c:v>46.05263157894737</c:v>
                </c:pt>
                <c:pt idx="7">
                  <c:v>45.526315789473685</c:v>
                </c:pt>
                <c:pt idx="8">
                  <c:v>43.013157894736842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v>Reserved</c:v>
          </c:tx>
          <c:invertIfNegative val="0"/>
          <c:val>
            <c:numRef>
              <c:f>PriceComparisonNormalised!$B$73:$B$82</c:f>
              <c:numCache>
                <c:formatCode>General</c:formatCode>
                <c:ptCount val="10"/>
                <c:pt idx="0">
                  <c:v>69.442441720740206</c:v>
                </c:pt>
                <c:pt idx="1">
                  <c:v>69.442441720740206</c:v>
                </c:pt>
                <c:pt idx="2">
                  <c:v>69.442441720740206</c:v>
                </c:pt>
                <c:pt idx="3">
                  <c:v>64.657534246575338</c:v>
                </c:pt>
                <c:pt idx="4">
                  <c:v>68.641352239045105</c:v>
                </c:pt>
                <c:pt idx="5">
                  <c:v>68.641352239045105</c:v>
                </c:pt>
                <c:pt idx="6">
                  <c:v>68.641352239045105</c:v>
                </c:pt>
                <c:pt idx="7">
                  <c:v>69.442441720740206</c:v>
                </c:pt>
                <c:pt idx="8">
                  <c:v>69.442441720740206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v>On-Demand</c:v>
          </c:tx>
          <c:invertIfNegative val="0"/>
          <c:val>
            <c:numRef>
              <c:f>PriceComparisonNormalised!$A$73:$A$82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359680"/>
        <c:axId val="152361216"/>
      </c:barChart>
      <c:catAx>
        <c:axId val="152359680"/>
        <c:scaling>
          <c:orientation val="minMax"/>
        </c:scaling>
        <c:delete val="0"/>
        <c:axPos val="b"/>
        <c:majorTickMark val="out"/>
        <c:minorTickMark val="none"/>
        <c:tickLblPos val="nextTo"/>
        <c:crossAx val="152361216"/>
        <c:crosses val="autoZero"/>
        <c:auto val="1"/>
        <c:lblAlgn val="ctr"/>
        <c:lblOffset val="100"/>
        <c:noMultiLvlLbl val="0"/>
      </c:catAx>
      <c:valAx>
        <c:axId val="152361216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152359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zoomScale="14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719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0.00672</cdr:x>
      <cdr:y>0.00943</cdr:y>
    </cdr:from>
    <cdr:to>
      <cdr:x>0.00672</cdr:x>
      <cdr:y>0.00943</cdr:y>
    </cdr:to>
    <cdr:sp macro="" textlink="">
      <cdr:nvSpPr>
        <cdr:cNvPr id="2" name="DVCHARTID" hidden="1"/>
        <cdr:cNvSpPr txBox="1"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" rtlCol="0" anchor="ctr"/>
        <a:lstStyle xmlns:a="http://schemas.openxmlformats.org/drawingml/2006/main"/>
        <a:p xmlns:a="http://schemas.openxmlformats.org/drawingml/2006/main">
          <a:pPr algn="r"/>
          <a:r>
            <a:rPr lang="en-US" sz="1100"/>
            <a:t>TYvy4yRyULMaBJkSsarH7C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0.00674</cdr:x>
      <cdr:y>0.00935</cdr:y>
    </cdr:from>
    <cdr:to>
      <cdr:x>0.00674</cdr:x>
      <cdr:y>0.00935</cdr:y>
    </cdr:to>
    <cdr:sp macro="" textlink="">
      <cdr:nvSpPr>
        <cdr:cNvPr id="2" name="DVCHARTID" hidden="1"/>
        <cdr:cNvSpPr txBox="1"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" rtlCol="0" anchor="ctr"/>
        <a:lstStyle xmlns:a="http://schemas.openxmlformats.org/drawingml/2006/main"/>
        <a:p xmlns:a="http://schemas.openxmlformats.org/drawingml/2006/main">
          <a:pPr algn="r"/>
          <a:r>
            <a:rPr lang="en-US" sz="1100"/>
            <a:t>NQIfL87hVUXUhyiTwL5SLj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0.00674</cdr:x>
      <cdr:y>0.00935</cdr:y>
    </cdr:from>
    <cdr:to>
      <cdr:x>0.00674</cdr:x>
      <cdr:y>0.00935</cdr:y>
    </cdr:to>
    <cdr:sp macro="" textlink="">
      <cdr:nvSpPr>
        <cdr:cNvPr id="2" name="DVCHARTID" hidden="1"/>
        <cdr:cNvSpPr txBox="1"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" rtlCol="0" anchor="ctr"/>
        <a:lstStyle xmlns:a="http://schemas.openxmlformats.org/drawingml/2006/main"/>
        <a:p xmlns:a="http://schemas.openxmlformats.org/drawingml/2006/main">
          <a:pPr algn="r"/>
          <a:r>
            <a:rPr lang="en-US" sz="1100"/>
            <a:t>nnw2Kz059jThbEPONJrDPR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0.00674</cdr:x>
      <cdr:y>0.00935</cdr:y>
    </cdr:from>
    <cdr:to>
      <cdr:x>0.00674</cdr:x>
      <cdr:y>0.00935</cdr:y>
    </cdr:to>
    <cdr:sp macro="" textlink="">
      <cdr:nvSpPr>
        <cdr:cNvPr id="2" name="DVCHARTID" hidden="1"/>
        <cdr:cNvSpPr txBox="1"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" rtlCol="0" anchor="ctr"/>
        <a:lstStyle xmlns:a="http://schemas.openxmlformats.org/drawingml/2006/main"/>
        <a:p xmlns:a="http://schemas.openxmlformats.org/drawingml/2006/main">
          <a:pPr algn="r"/>
          <a:r>
            <a:rPr lang="en-US" sz="1100"/>
            <a:t>dGrLzyDFBeRutkIIoxhQLE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0.00674</cdr:x>
      <cdr:y>0.00935</cdr:y>
    </cdr:from>
    <cdr:to>
      <cdr:x>0.00674</cdr:x>
      <cdr:y>0.00935</cdr:y>
    </cdr:to>
    <cdr:sp macro="" textlink="">
      <cdr:nvSpPr>
        <cdr:cNvPr id="3" name="DVCHARTID" hidden="1"/>
        <cdr:cNvSpPr txBox="1"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" rtlCol="0" anchor="ctr"/>
        <a:lstStyle xmlns:a="http://schemas.openxmlformats.org/drawingml/2006/main"/>
        <a:p xmlns:a="http://schemas.openxmlformats.org/drawingml/2006/main">
          <a:pPr algn="r"/>
          <a:r>
            <a:rPr lang="en-US" sz="1100"/>
            <a:t>qNLiNcGD6w6P0oqzbn6yIo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190500</xdr:rowOff>
    </xdr:from>
    <xdr:to>
      <xdr:col>12</xdr:col>
      <xdr:colOff>495300</xdr:colOff>
      <xdr:row>18</xdr:row>
      <xdr:rowOff>90487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0.00505</cdr:x>
      <cdr:y>0.01712</cdr:y>
    </cdr:from>
    <cdr:to>
      <cdr:x>0.00505</cdr:x>
      <cdr:y>0.01712</cdr:y>
    </cdr:to>
    <cdr:sp macro="" textlink="">
      <cdr:nvSpPr>
        <cdr:cNvPr id="2" name="DVCHARTID" hidden="1"/>
        <cdr:cNvSpPr txBox="1"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" rtlCol="0" anchor="ctr"/>
        <a:lstStyle xmlns:a="http://schemas.openxmlformats.org/drawingml/2006/main"/>
        <a:p xmlns:a="http://schemas.openxmlformats.org/drawingml/2006/main">
          <a:pPr algn="r"/>
          <a:r>
            <a:rPr lang="en-US" sz="1100"/>
            <a:t>10nE4HXmr8twaQBY0rrtHE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0.00586</cdr:x>
      <cdr:y>0.00807</cdr:y>
    </cdr:from>
    <cdr:to>
      <cdr:x>0.00586</cdr:x>
      <cdr:y>0.00807</cdr:y>
    </cdr:to>
    <cdr:sp macro="" textlink="">
      <cdr:nvSpPr>
        <cdr:cNvPr id="2" name="DVCHARTID" hidden="1"/>
        <cdr:cNvSpPr txBox="1"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" rtlCol="0" anchor="ctr"/>
        <a:lstStyle xmlns:a="http://schemas.openxmlformats.org/drawingml/2006/main"/>
        <a:p xmlns:a="http://schemas.openxmlformats.org/drawingml/2006/main">
          <a:pPr algn="r"/>
          <a:r>
            <a:rPr lang="en-US" sz="1100"/>
            <a:t>e8lGefCHICpVIkAE0QuxwP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176209</xdr:rowOff>
    </xdr:from>
    <xdr:to>
      <xdr:col>7</xdr:col>
      <xdr:colOff>171450</xdr:colOff>
      <xdr:row>31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176209</xdr:rowOff>
    </xdr:from>
    <xdr:to>
      <xdr:col>7</xdr:col>
      <xdr:colOff>142874</xdr:colOff>
      <xdr:row>64</xdr:row>
      <xdr:rowOff>85724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176209</xdr:rowOff>
    </xdr:from>
    <xdr:to>
      <xdr:col>7</xdr:col>
      <xdr:colOff>142874</xdr:colOff>
      <xdr:row>97</xdr:row>
      <xdr:rowOff>85724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101</xdr:row>
      <xdr:rowOff>176209</xdr:rowOff>
    </xdr:from>
    <xdr:to>
      <xdr:col>7</xdr:col>
      <xdr:colOff>142874</xdr:colOff>
      <xdr:row>130</xdr:row>
      <xdr:rowOff>85724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134</xdr:row>
      <xdr:rowOff>176209</xdr:rowOff>
    </xdr:from>
    <xdr:to>
      <xdr:col>7</xdr:col>
      <xdr:colOff>142874</xdr:colOff>
      <xdr:row>163</xdr:row>
      <xdr:rowOff>85724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0.00672</cdr:x>
      <cdr:y>0.00943</cdr:y>
    </cdr:from>
    <cdr:to>
      <cdr:x>0.00672</cdr:x>
      <cdr:y>0.00943</cdr:y>
    </cdr:to>
    <cdr:sp macro="" textlink="">
      <cdr:nvSpPr>
        <cdr:cNvPr id="2" name="DVCHARTID" hidden="1"/>
        <cdr:cNvSpPr txBox="1"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" rtlCol="0" anchor="ctr"/>
        <a:lstStyle xmlns:a="http://schemas.openxmlformats.org/drawingml/2006/main"/>
        <a:p xmlns:a="http://schemas.openxmlformats.org/drawingml/2006/main">
          <a:pPr algn="r"/>
          <a:r>
            <a:rPr lang="en-US" sz="1100"/>
            <a:t>TtW2e8J7cQDtnokg3p1zj1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0.00674</cdr:x>
      <cdr:y>0.00935</cdr:y>
    </cdr:from>
    <cdr:to>
      <cdr:x>0.00674</cdr:x>
      <cdr:y>0.00935</cdr:y>
    </cdr:to>
    <cdr:sp macro="" textlink="">
      <cdr:nvSpPr>
        <cdr:cNvPr id="2" name="DVCHARTID" hidden="1"/>
        <cdr:cNvSpPr txBox="1"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" rtlCol="0" anchor="ctr"/>
        <a:lstStyle xmlns:a="http://schemas.openxmlformats.org/drawingml/2006/main"/>
        <a:p xmlns:a="http://schemas.openxmlformats.org/drawingml/2006/main">
          <a:pPr algn="r"/>
          <a:r>
            <a:rPr lang="en-US" sz="1100"/>
            <a:t>sGEHW9n1lFybRwOs548EWh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0.00674</cdr:x>
      <cdr:y>0.00935</cdr:y>
    </cdr:from>
    <cdr:to>
      <cdr:x>0.00674</cdr:x>
      <cdr:y>0.00935</cdr:y>
    </cdr:to>
    <cdr:sp macro="" textlink="">
      <cdr:nvSpPr>
        <cdr:cNvPr id="2" name="DVCHARTID" hidden="1"/>
        <cdr:cNvSpPr txBox="1"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" rtlCol="0" anchor="ctr"/>
        <a:lstStyle xmlns:a="http://schemas.openxmlformats.org/drawingml/2006/main"/>
        <a:p xmlns:a="http://schemas.openxmlformats.org/drawingml/2006/main">
          <a:pPr algn="r"/>
          <a:r>
            <a:rPr lang="en-US" sz="1100"/>
            <a:t>8wVRGULLEyhS1gnxczJbvX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0.00674</cdr:x>
      <cdr:y>0.00935</cdr:y>
    </cdr:from>
    <cdr:to>
      <cdr:x>0.00674</cdr:x>
      <cdr:y>0.00935</cdr:y>
    </cdr:to>
    <cdr:sp macro="" textlink="">
      <cdr:nvSpPr>
        <cdr:cNvPr id="2" name="DVCHARTID" hidden="1"/>
        <cdr:cNvSpPr txBox="1"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" rtlCol="0" anchor="ctr"/>
        <a:lstStyle xmlns:a="http://schemas.openxmlformats.org/drawingml/2006/main"/>
        <a:p xmlns:a="http://schemas.openxmlformats.org/drawingml/2006/main">
          <a:pPr algn="r"/>
          <a:r>
            <a:rPr lang="en-US" sz="1100"/>
            <a:t>VbxNsBjXrF4ay8M4ssfA00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0.00674</cdr:x>
      <cdr:y>0.00935</cdr:y>
    </cdr:from>
    <cdr:to>
      <cdr:x>0.00674</cdr:x>
      <cdr:y>0.00935</cdr:y>
    </cdr:to>
    <cdr:sp macro="" textlink="">
      <cdr:nvSpPr>
        <cdr:cNvPr id="3" name="DVCHARTID" hidden="1"/>
        <cdr:cNvSpPr txBox="1"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" rtlCol="0" anchor="ctr"/>
        <a:lstStyle xmlns:a="http://schemas.openxmlformats.org/drawingml/2006/main"/>
        <a:p xmlns:a="http://schemas.openxmlformats.org/drawingml/2006/main">
          <a:pPr algn="r"/>
          <a:r>
            <a:rPr lang="en-US" sz="1100"/>
            <a:t>VNQNFk00aP2vvGFhDqAny4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4759</xdr:rowOff>
    </xdr:from>
    <xdr:to>
      <xdr:col>7</xdr:col>
      <xdr:colOff>190500</xdr:colOff>
      <xdr:row>31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36</xdr:row>
      <xdr:rowOff>23809</xdr:rowOff>
    </xdr:from>
    <xdr:to>
      <xdr:col>7</xdr:col>
      <xdr:colOff>152399</xdr:colOff>
      <xdr:row>64</xdr:row>
      <xdr:rowOff>123824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69</xdr:row>
      <xdr:rowOff>14284</xdr:rowOff>
    </xdr:from>
    <xdr:to>
      <xdr:col>7</xdr:col>
      <xdr:colOff>152399</xdr:colOff>
      <xdr:row>97</xdr:row>
      <xdr:rowOff>114299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102</xdr:row>
      <xdr:rowOff>4759</xdr:rowOff>
    </xdr:from>
    <xdr:to>
      <xdr:col>7</xdr:col>
      <xdr:colOff>161924</xdr:colOff>
      <xdr:row>130</xdr:row>
      <xdr:rowOff>104774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135</xdr:row>
      <xdr:rowOff>4759</xdr:rowOff>
    </xdr:from>
    <xdr:to>
      <xdr:col>7</xdr:col>
      <xdr:colOff>152399</xdr:colOff>
      <xdr:row>163</xdr:row>
      <xdr:rowOff>104774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t/Desktop/ReservedMoreOrLe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Pricing"/>
      <sheetName val="Practical Example"/>
      <sheetName val="Sheet3"/>
    </sheetNames>
    <sheetDataSet>
      <sheetData sheetId="0">
        <row r="7">
          <cell r="B7">
            <v>8.5000000000000006E-2</v>
          </cell>
          <cell r="D7">
            <v>0.03</v>
          </cell>
          <cell r="F7">
            <v>227.5</v>
          </cell>
        </row>
        <row r="29">
          <cell r="D29">
            <v>47.218762972187626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J133"/>
  <sheetViews>
    <sheetView showGridLines="0" tabSelected="1" topLeftCell="A108" zoomScaleNormal="100" workbookViewId="0">
      <selection activeCell="I120" sqref="I120"/>
    </sheetView>
  </sheetViews>
  <sheetFormatPr defaultRowHeight="15" x14ac:dyDescent="0.25"/>
  <cols>
    <col min="1" max="1" width="38.85546875" customWidth="1"/>
    <col min="2" max="6" width="12.42578125" bestFit="1" customWidth="1"/>
    <col min="7" max="7" width="11.140625" bestFit="1" customWidth="1"/>
    <col min="8" max="11" width="12.42578125" bestFit="1" customWidth="1"/>
    <col min="12" max="12" width="12.7109375" bestFit="1" customWidth="1"/>
  </cols>
  <sheetData>
    <row r="2" spans="1:6" ht="18.75" x14ac:dyDescent="0.3">
      <c r="A2" s="1" t="s">
        <v>0</v>
      </c>
    </row>
    <row r="3" spans="1:6" ht="15.75" thickBot="1" x14ac:dyDescent="0.3"/>
    <row r="4" spans="1:6" x14ac:dyDescent="0.25">
      <c r="A4" s="2" t="s">
        <v>1</v>
      </c>
      <c r="B4" s="3" t="s">
        <v>2</v>
      </c>
      <c r="C4" s="32" t="s">
        <v>3</v>
      </c>
      <c r="D4" s="32" t="s">
        <v>4</v>
      </c>
      <c r="E4" s="32" t="s">
        <v>5</v>
      </c>
      <c r="F4" s="108" t="s">
        <v>125</v>
      </c>
    </row>
    <row r="5" spans="1:6" x14ac:dyDescent="0.25">
      <c r="A5" s="4" t="s">
        <v>6</v>
      </c>
      <c r="B5" s="5" t="s">
        <v>7</v>
      </c>
      <c r="C5" s="34" t="s">
        <v>7</v>
      </c>
      <c r="D5" s="34" t="s">
        <v>7</v>
      </c>
      <c r="E5" s="34" t="s">
        <v>7</v>
      </c>
      <c r="F5" s="16" t="s">
        <v>7</v>
      </c>
    </row>
    <row r="6" spans="1:6" ht="15.75" thickBot="1" x14ac:dyDescent="0.3">
      <c r="A6" s="6" t="s">
        <v>8</v>
      </c>
      <c r="B6" s="7" t="s">
        <v>9</v>
      </c>
      <c r="C6" s="35" t="s">
        <v>9</v>
      </c>
      <c r="D6" s="35" t="s">
        <v>9</v>
      </c>
      <c r="E6" s="35" t="s">
        <v>9</v>
      </c>
      <c r="F6" s="17" t="s">
        <v>9</v>
      </c>
    </row>
    <row r="7" spans="1:6" x14ac:dyDescent="0.25">
      <c r="A7" s="8" t="s">
        <v>10</v>
      </c>
      <c r="B7" s="123">
        <v>8.5000000000000006E-2</v>
      </c>
      <c r="C7" s="124">
        <v>9.5000000000000001E-2</v>
      </c>
      <c r="D7" s="124">
        <v>9.5000000000000001E-2</v>
      </c>
      <c r="E7" s="124">
        <v>9.5000000000000001E-2</v>
      </c>
      <c r="F7" s="121">
        <v>0.1</v>
      </c>
    </row>
    <row r="8" spans="1:6" x14ac:dyDescent="0.25">
      <c r="A8" s="11" t="s">
        <v>11</v>
      </c>
      <c r="B8" s="125">
        <v>0.34</v>
      </c>
      <c r="C8" s="126">
        <v>0.38</v>
      </c>
      <c r="D8" s="126">
        <v>0.38</v>
      </c>
      <c r="E8" s="126">
        <v>0.38</v>
      </c>
      <c r="F8" s="122">
        <v>0.4</v>
      </c>
    </row>
    <row r="9" spans="1:6" x14ac:dyDescent="0.25">
      <c r="A9" s="11" t="s">
        <v>12</v>
      </c>
      <c r="B9" s="125">
        <v>0.68</v>
      </c>
      <c r="C9" s="126">
        <v>0.76</v>
      </c>
      <c r="D9" s="126">
        <v>0.76</v>
      </c>
      <c r="E9" s="126">
        <v>0.76</v>
      </c>
      <c r="F9" s="122">
        <v>0.8</v>
      </c>
    </row>
    <row r="10" spans="1:6" x14ac:dyDescent="0.25">
      <c r="A10" s="11" t="s">
        <v>13</v>
      </c>
      <c r="B10" s="125">
        <v>0.02</v>
      </c>
      <c r="C10" s="126">
        <v>2.5000000000000001E-2</v>
      </c>
      <c r="D10" s="126">
        <v>2.5000000000000001E-2</v>
      </c>
      <c r="E10" s="126">
        <v>2.5000000000000001E-2</v>
      </c>
      <c r="F10" s="122">
        <v>2.7E-2</v>
      </c>
    </row>
    <row r="11" spans="1:6" x14ac:dyDescent="0.25">
      <c r="A11" s="11" t="s">
        <v>14</v>
      </c>
      <c r="B11" s="125">
        <v>0.5</v>
      </c>
      <c r="C11" s="126">
        <v>0.56999999999999995</v>
      </c>
      <c r="D11" s="126">
        <v>0.56999999999999995</v>
      </c>
      <c r="E11" s="126">
        <v>0.56999999999999995</v>
      </c>
      <c r="F11" s="122">
        <v>0.6</v>
      </c>
    </row>
    <row r="12" spans="1:6" x14ac:dyDescent="0.25">
      <c r="A12" s="11" t="s">
        <v>15</v>
      </c>
      <c r="B12" s="125">
        <v>1</v>
      </c>
      <c r="C12" s="126">
        <v>1.1399999999999999</v>
      </c>
      <c r="D12" s="126">
        <v>1.1399999999999999</v>
      </c>
      <c r="E12" s="126">
        <v>1.1399999999999999</v>
      </c>
      <c r="F12" s="122">
        <v>1.2</v>
      </c>
    </row>
    <row r="13" spans="1:6" x14ac:dyDescent="0.25">
      <c r="A13" s="11" t="s">
        <v>16</v>
      </c>
      <c r="B13" s="125">
        <v>2</v>
      </c>
      <c r="C13" s="126">
        <v>2.2799999999999998</v>
      </c>
      <c r="D13" s="126">
        <v>2.2799999999999998</v>
      </c>
      <c r="E13" s="126">
        <v>2.2799999999999998</v>
      </c>
      <c r="F13" s="122">
        <v>2.39</v>
      </c>
    </row>
    <row r="14" spans="1:6" x14ac:dyDescent="0.25">
      <c r="A14" s="11" t="s">
        <v>17</v>
      </c>
      <c r="B14" s="125">
        <v>0.17</v>
      </c>
      <c r="C14" s="126">
        <v>0.19</v>
      </c>
      <c r="D14" s="126">
        <v>0.19</v>
      </c>
      <c r="E14" s="126">
        <v>0.19</v>
      </c>
      <c r="F14" s="122">
        <v>0.2</v>
      </c>
    </row>
    <row r="15" spans="1:6" x14ac:dyDescent="0.25">
      <c r="A15" s="11" t="s">
        <v>18</v>
      </c>
      <c r="B15" s="125">
        <v>0.68</v>
      </c>
      <c r="C15" s="126">
        <v>0.76</v>
      </c>
      <c r="D15" s="126">
        <v>0.76</v>
      </c>
      <c r="E15" s="126">
        <v>0.76</v>
      </c>
      <c r="F15" s="122">
        <v>0.8</v>
      </c>
    </row>
    <row r="16" spans="1:6" x14ac:dyDescent="0.25">
      <c r="A16" s="11" t="s">
        <v>19</v>
      </c>
      <c r="B16" s="125">
        <v>1.6</v>
      </c>
      <c r="C16" s="126" t="s">
        <v>20</v>
      </c>
      <c r="D16" s="126" t="s">
        <v>20</v>
      </c>
      <c r="E16" s="126" t="s">
        <v>20</v>
      </c>
      <c r="F16" s="117" t="s">
        <v>20</v>
      </c>
    </row>
    <row r="17" spans="1:6" ht="15.75" thickBot="1" x14ac:dyDescent="0.3">
      <c r="A17" s="14" t="s">
        <v>126</v>
      </c>
      <c r="B17" s="152">
        <v>2.1</v>
      </c>
      <c r="C17" s="119" t="s">
        <v>20</v>
      </c>
      <c r="D17" s="119" t="s">
        <v>20</v>
      </c>
      <c r="E17" s="119" t="s">
        <v>20</v>
      </c>
      <c r="F17" s="120" t="s">
        <v>20</v>
      </c>
    </row>
    <row r="18" spans="1:6" ht="15.75" thickBot="1" x14ac:dyDescent="0.3"/>
    <row r="19" spans="1:6" x14ac:dyDescent="0.25">
      <c r="A19" s="2" t="s">
        <v>1</v>
      </c>
      <c r="B19" s="3" t="s">
        <v>2</v>
      </c>
      <c r="C19" s="32" t="s">
        <v>3</v>
      </c>
      <c r="D19" s="32" t="s">
        <v>4</v>
      </c>
      <c r="E19" s="32" t="s">
        <v>5</v>
      </c>
      <c r="F19" s="33" t="s">
        <v>125</v>
      </c>
    </row>
    <row r="20" spans="1:6" x14ac:dyDescent="0.25">
      <c r="A20" s="4" t="s">
        <v>6</v>
      </c>
      <c r="B20" s="5" t="s">
        <v>21</v>
      </c>
      <c r="C20" s="34" t="s">
        <v>21</v>
      </c>
      <c r="D20" s="34" t="s">
        <v>21</v>
      </c>
      <c r="E20" s="34" t="s">
        <v>21</v>
      </c>
      <c r="F20" s="16" t="s">
        <v>21</v>
      </c>
    </row>
    <row r="21" spans="1:6" ht="15.75" thickBot="1" x14ac:dyDescent="0.3">
      <c r="A21" s="6" t="s">
        <v>8</v>
      </c>
      <c r="B21" s="7" t="s">
        <v>9</v>
      </c>
      <c r="C21" s="35" t="s">
        <v>9</v>
      </c>
      <c r="D21" s="35" t="s">
        <v>9</v>
      </c>
      <c r="E21" s="35" t="s">
        <v>9</v>
      </c>
      <c r="F21" s="17" t="s">
        <v>9</v>
      </c>
    </row>
    <row r="22" spans="1:6" x14ac:dyDescent="0.25">
      <c r="A22" s="8" t="s">
        <v>10</v>
      </c>
      <c r="B22" s="123">
        <v>0.12</v>
      </c>
      <c r="C22" s="124">
        <v>0.13</v>
      </c>
      <c r="D22" s="128">
        <v>0.12</v>
      </c>
      <c r="E22" s="128">
        <v>0.12</v>
      </c>
      <c r="F22" s="134">
        <v>0.12</v>
      </c>
    </row>
    <row r="23" spans="1:6" x14ac:dyDescent="0.25">
      <c r="A23" s="11" t="s">
        <v>11</v>
      </c>
      <c r="B23" s="125">
        <v>0.48</v>
      </c>
      <c r="C23" s="126">
        <v>0.52</v>
      </c>
      <c r="D23" s="129">
        <v>0.48</v>
      </c>
      <c r="E23" s="129">
        <v>0.48</v>
      </c>
      <c r="F23" s="135">
        <v>0.48</v>
      </c>
    </row>
    <row r="24" spans="1:6" x14ac:dyDescent="0.25">
      <c r="A24" s="11" t="s">
        <v>12</v>
      </c>
      <c r="B24" s="125">
        <v>0.96</v>
      </c>
      <c r="C24" s="126">
        <v>1.04</v>
      </c>
      <c r="D24" s="129">
        <v>0.96</v>
      </c>
      <c r="E24" s="129">
        <v>0.96</v>
      </c>
      <c r="F24" s="135">
        <v>0.96</v>
      </c>
    </row>
    <row r="25" spans="1:6" x14ac:dyDescent="0.25">
      <c r="A25" s="11" t="s">
        <v>13</v>
      </c>
      <c r="B25" s="125">
        <v>0.03</v>
      </c>
      <c r="C25" s="126">
        <v>3.5000000000000003E-2</v>
      </c>
      <c r="D25" s="126">
        <v>3.5000000000000003E-2</v>
      </c>
      <c r="E25" s="126">
        <v>3.5000000000000003E-2</v>
      </c>
      <c r="F25" s="122">
        <v>3.5000000000000003E-2</v>
      </c>
    </row>
    <row r="26" spans="1:6" x14ac:dyDescent="0.25">
      <c r="A26" s="11" t="s">
        <v>14</v>
      </c>
      <c r="B26" s="125">
        <v>0.62</v>
      </c>
      <c r="C26" s="126">
        <v>0.69</v>
      </c>
      <c r="D26" s="129">
        <v>0.62</v>
      </c>
      <c r="E26" s="129">
        <v>0.62</v>
      </c>
      <c r="F26" s="135">
        <v>0.62</v>
      </c>
    </row>
    <row r="27" spans="1:6" x14ac:dyDescent="0.25">
      <c r="A27" s="11" t="s">
        <v>15</v>
      </c>
      <c r="B27" s="125">
        <v>1.24</v>
      </c>
      <c r="C27" s="126">
        <v>1.38</v>
      </c>
      <c r="D27" s="129">
        <v>1.24</v>
      </c>
      <c r="E27" s="129">
        <v>1.24</v>
      </c>
      <c r="F27" s="135">
        <v>1.24</v>
      </c>
    </row>
    <row r="28" spans="1:6" x14ac:dyDescent="0.25">
      <c r="A28" s="11" t="s">
        <v>16</v>
      </c>
      <c r="B28" s="125">
        <v>2.48</v>
      </c>
      <c r="C28" s="126">
        <v>2.76</v>
      </c>
      <c r="D28" s="129">
        <v>2.48</v>
      </c>
      <c r="E28" s="129">
        <v>2.48</v>
      </c>
      <c r="F28" s="135">
        <v>2.48</v>
      </c>
    </row>
    <row r="29" spans="1:6" x14ac:dyDescent="0.25">
      <c r="A29" s="11" t="s">
        <v>17</v>
      </c>
      <c r="B29" s="125">
        <v>0.28999999999999998</v>
      </c>
      <c r="C29" s="126">
        <v>0.31</v>
      </c>
      <c r="D29" s="129">
        <v>0.28999999999999998</v>
      </c>
      <c r="E29" s="129">
        <v>0.28999999999999998</v>
      </c>
      <c r="F29" s="135">
        <v>0.28999999999999998</v>
      </c>
    </row>
    <row r="30" spans="1:6" x14ac:dyDescent="0.25">
      <c r="A30" s="11" t="s">
        <v>18</v>
      </c>
      <c r="B30" s="125">
        <v>1.1599999999999999</v>
      </c>
      <c r="C30" s="126">
        <v>1.24</v>
      </c>
      <c r="D30" s="129">
        <v>1.1599999999999999</v>
      </c>
      <c r="E30" s="129">
        <v>1.1599999999999999</v>
      </c>
      <c r="F30" s="135">
        <v>1.1599999999999999</v>
      </c>
    </row>
    <row r="31" spans="1:6" x14ac:dyDescent="0.25">
      <c r="A31" s="11" t="s">
        <v>19</v>
      </c>
      <c r="B31" s="127" t="s">
        <v>20</v>
      </c>
      <c r="C31" s="126" t="s">
        <v>20</v>
      </c>
      <c r="D31" s="126" t="s">
        <v>20</v>
      </c>
      <c r="E31" s="126" t="s">
        <v>20</v>
      </c>
      <c r="F31" s="130" t="s">
        <v>20</v>
      </c>
    </row>
    <row r="32" spans="1:6" ht="15.75" thickBot="1" x14ac:dyDescent="0.3">
      <c r="A32" s="14" t="s">
        <v>126</v>
      </c>
      <c r="B32" s="131" t="s">
        <v>20</v>
      </c>
      <c r="C32" s="132" t="s">
        <v>20</v>
      </c>
      <c r="D32" s="132" t="s">
        <v>20</v>
      </c>
      <c r="E32" s="132" t="s">
        <v>20</v>
      </c>
      <c r="F32" s="133" t="s">
        <v>20</v>
      </c>
    </row>
    <row r="34" spans="1:6" ht="18.75" x14ac:dyDescent="0.3">
      <c r="A34" s="1" t="s">
        <v>22</v>
      </c>
    </row>
    <row r="35" spans="1:6" ht="15.75" thickBot="1" x14ac:dyDescent="0.3"/>
    <row r="36" spans="1:6" x14ac:dyDescent="0.25">
      <c r="A36" s="41" t="s">
        <v>1</v>
      </c>
      <c r="B36" s="3" t="s">
        <v>2</v>
      </c>
      <c r="C36" s="32" t="s">
        <v>3</v>
      </c>
      <c r="D36" s="32" t="s">
        <v>4</v>
      </c>
      <c r="E36" s="32" t="s">
        <v>5</v>
      </c>
      <c r="F36" s="108" t="s">
        <v>125</v>
      </c>
    </row>
    <row r="37" spans="1:6" x14ac:dyDescent="0.25">
      <c r="A37" s="42" t="s">
        <v>6</v>
      </c>
      <c r="B37" s="5" t="s">
        <v>7</v>
      </c>
      <c r="C37" s="34" t="s">
        <v>7</v>
      </c>
      <c r="D37" s="34" t="s">
        <v>7</v>
      </c>
      <c r="E37" s="34" t="s">
        <v>7</v>
      </c>
      <c r="F37" s="16" t="s">
        <v>7</v>
      </c>
    </row>
    <row r="38" spans="1:6" ht="15.75" thickBot="1" x14ac:dyDescent="0.3">
      <c r="A38" s="43" t="s">
        <v>8</v>
      </c>
      <c r="B38" s="7" t="s">
        <v>9</v>
      </c>
      <c r="C38" s="35" t="s">
        <v>9</v>
      </c>
      <c r="D38" s="35" t="s">
        <v>9</v>
      </c>
      <c r="E38" s="35" t="s">
        <v>9</v>
      </c>
      <c r="F38" s="17" t="s">
        <v>9</v>
      </c>
    </row>
    <row r="39" spans="1:6" x14ac:dyDescent="0.25">
      <c r="A39" s="8" t="s">
        <v>10</v>
      </c>
      <c r="B39" s="123">
        <v>3.6799999999999999E-2</v>
      </c>
      <c r="C39" s="124">
        <v>4.6699999999999998E-2</v>
      </c>
      <c r="D39" s="124">
        <v>4.6899999999999997E-2</v>
      </c>
      <c r="E39" s="124">
        <v>4.6800000000000001E-2</v>
      </c>
      <c r="F39" s="149" t="s">
        <v>129</v>
      </c>
    </row>
    <row r="40" spans="1:6" x14ac:dyDescent="0.25">
      <c r="A40" s="11" t="s">
        <v>11</v>
      </c>
      <c r="B40" s="125">
        <v>0.12820000000000001</v>
      </c>
      <c r="C40" s="136">
        <v>0.16719999999999999</v>
      </c>
      <c r="D40" s="136">
        <v>0.16669999999999999</v>
      </c>
      <c r="E40" s="136">
        <v>0.1663</v>
      </c>
      <c r="F40" s="130" t="s">
        <v>129</v>
      </c>
    </row>
    <row r="41" spans="1:6" x14ac:dyDescent="0.25">
      <c r="A41" s="11" t="s">
        <v>12</v>
      </c>
      <c r="B41" s="125">
        <v>0.24890000000000001</v>
      </c>
      <c r="C41" s="126">
        <v>0.32669999999999999</v>
      </c>
      <c r="D41" s="126">
        <v>0.32719999999999999</v>
      </c>
      <c r="E41" s="126">
        <v>0.32617000000000002</v>
      </c>
      <c r="F41" s="130" t="s">
        <v>129</v>
      </c>
    </row>
    <row r="42" spans="1:6" x14ac:dyDescent="0.25">
      <c r="A42" s="11" t="s">
        <v>13</v>
      </c>
      <c r="B42" s="125">
        <v>1.23E-2</v>
      </c>
      <c r="C42" s="126">
        <v>1.47E-2</v>
      </c>
      <c r="D42" s="126">
        <v>1.3100000000000001E-2</v>
      </c>
      <c r="E42" s="126">
        <v>1.3299999999999999E-2</v>
      </c>
      <c r="F42" s="130" t="s">
        <v>129</v>
      </c>
    </row>
    <row r="43" spans="1:6" x14ac:dyDescent="0.25">
      <c r="A43" s="11" t="s">
        <v>14</v>
      </c>
      <c r="B43" s="125">
        <v>0.1832</v>
      </c>
      <c r="C43" s="126">
        <v>0.2467</v>
      </c>
      <c r="D43" s="126">
        <v>0.247</v>
      </c>
      <c r="E43" s="126">
        <v>0.2467</v>
      </c>
      <c r="F43" s="130" t="s">
        <v>129</v>
      </c>
    </row>
    <row r="44" spans="1:6" x14ac:dyDescent="0.25">
      <c r="A44" s="11" t="s">
        <v>15</v>
      </c>
      <c r="B44" s="125">
        <v>0.38679999999999998</v>
      </c>
      <c r="C44" s="126">
        <v>0.52700000000000002</v>
      </c>
      <c r="D44" s="126">
        <v>0.52700000000000002</v>
      </c>
      <c r="E44" s="126">
        <v>0.52669999999999995</v>
      </c>
      <c r="F44" s="130" t="s">
        <v>129</v>
      </c>
    </row>
    <row r="45" spans="1:6" x14ac:dyDescent="0.25">
      <c r="A45" s="11" t="s">
        <v>16</v>
      </c>
      <c r="B45" s="125">
        <v>0.76949999999999996</v>
      </c>
      <c r="C45" s="126">
        <v>1.0468</v>
      </c>
      <c r="D45" s="126">
        <v>1.05</v>
      </c>
      <c r="E45" s="126">
        <v>1.0476000000000001</v>
      </c>
      <c r="F45" s="130" t="s">
        <v>129</v>
      </c>
    </row>
    <row r="46" spans="1:6" x14ac:dyDescent="0.25">
      <c r="A46" s="11" t="s">
        <v>17</v>
      </c>
      <c r="B46" s="125">
        <v>6.6699999999999995E-2</v>
      </c>
      <c r="C46" s="126">
        <v>8.6699999999999999E-2</v>
      </c>
      <c r="D46" s="126">
        <v>8.6499999999999994E-2</v>
      </c>
      <c r="E46" s="126">
        <v>8.6499999999999994E-2</v>
      </c>
      <c r="F46" s="130" t="s">
        <v>129</v>
      </c>
    </row>
    <row r="47" spans="1:6" x14ac:dyDescent="0.25">
      <c r="A47" s="11" t="s">
        <v>18</v>
      </c>
      <c r="B47" s="125">
        <v>0.254</v>
      </c>
      <c r="C47" s="126">
        <v>0.32669999999999999</v>
      </c>
      <c r="D47" s="126">
        <v>0.32690000000000002</v>
      </c>
      <c r="E47" s="126">
        <v>0.32869999999999999</v>
      </c>
      <c r="F47" s="130" t="s">
        <v>129</v>
      </c>
    </row>
    <row r="48" spans="1:6" x14ac:dyDescent="0.25">
      <c r="A48" s="11" t="s">
        <v>19</v>
      </c>
      <c r="B48" s="13" t="s">
        <v>20</v>
      </c>
      <c r="C48" s="115" t="s">
        <v>20</v>
      </c>
      <c r="D48" s="115" t="s">
        <v>20</v>
      </c>
      <c r="E48" s="115" t="s">
        <v>20</v>
      </c>
      <c r="F48" s="117" t="s">
        <v>20</v>
      </c>
    </row>
    <row r="49" spans="1:6" ht="15.75" thickBot="1" x14ac:dyDescent="0.3">
      <c r="A49" s="14" t="s">
        <v>126</v>
      </c>
      <c r="B49" s="118" t="s">
        <v>20</v>
      </c>
      <c r="C49" s="119" t="s">
        <v>20</v>
      </c>
      <c r="D49" s="119" t="s">
        <v>20</v>
      </c>
      <c r="E49" s="119" t="s">
        <v>20</v>
      </c>
      <c r="F49" s="120" t="s">
        <v>20</v>
      </c>
    </row>
    <row r="50" spans="1:6" ht="15.75" thickBot="1" x14ac:dyDescent="0.3"/>
    <row r="51" spans="1:6" x14ac:dyDescent="0.25">
      <c r="A51" s="2" t="s">
        <v>1</v>
      </c>
      <c r="B51" s="3" t="s">
        <v>2</v>
      </c>
      <c r="C51" s="32" t="s">
        <v>3</v>
      </c>
      <c r="D51" s="32" t="s">
        <v>4</v>
      </c>
      <c r="E51" s="32" t="s">
        <v>5</v>
      </c>
      <c r="F51" s="33" t="s">
        <v>125</v>
      </c>
    </row>
    <row r="52" spans="1:6" x14ac:dyDescent="0.25">
      <c r="A52" s="4" t="s">
        <v>6</v>
      </c>
      <c r="B52" s="5" t="s">
        <v>21</v>
      </c>
      <c r="C52" s="34" t="s">
        <v>21</v>
      </c>
      <c r="D52" s="34" t="s">
        <v>21</v>
      </c>
      <c r="E52" s="34" t="s">
        <v>21</v>
      </c>
      <c r="F52" s="16" t="s">
        <v>21</v>
      </c>
    </row>
    <row r="53" spans="1:6" ht="15.75" thickBot="1" x14ac:dyDescent="0.3">
      <c r="A53" s="6" t="s">
        <v>8</v>
      </c>
      <c r="B53" s="7" t="s">
        <v>9</v>
      </c>
      <c r="C53" s="35" t="s">
        <v>9</v>
      </c>
      <c r="D53" s="35" t="s">
        <v>9</v>
      </c>
      <c r="E53" s="35" t="s">
        <v>9</v>
      </c>
      <c r="F53" s="17" t="s">
        <v>9</v>
      </c>
    </row>
    <row r="54" spans="1:6" x14ac:dyDescent="0.25">
      <c r="A54" s="8" t="s">
        <v>10</v>
      </c>
      <c r="B54" s="123">
        <v>5.7683673469387402E-2</v>
      </c>
      <c r="C54" s="124">
        <v>6.7007653061224595E-2</v>
      </c>
      <c r="D54" s="124">
        <v>6.7123456790121994E-2</v>
      </c>
      <c r="E54" s="124">
        <v>6.7053524804177603E-2</v>
      </c>
      <c r="F54" s="149" t="s">
        <v>129</v>
      </c>
    </row>
    <row r="55" spans="1:6" x14ac:dyDescent="0.25">
      <c r="A55" s="11" t="s">
        <v>11</v>
      </c>
      <c r="B55" s="125">
        <v>0.201055102040816</v>
      </c>
      <c r="C55" s="126">
        <v>0.266202970297029</v>
      </c>
      <c r="D55" s="126">
        <v>0.26753795546558501</v>
      </c>
      <c r="E55" s="126">
        <v>0.26685611510791302</v>
      </c>
      <c r="F55" s="130" t="s">
        <v>129</v>
      </c>
    </row>
    <row r="56" spans="1:6" x14ac:dyDescent="0.25">
      <c r="A56" s="11" t="s">
        <v>12</v>
      </c>
      <c r="B56" s="125">
        <v>0.40066884422110299</v>
      </c>
      <c r="C56" s="126">
        <v>0.53164559819413104</v>
      </c>
      <c r="D56" s="126">
        <v>0.53322305389221303</v>
      </c>
      <c r="E56" s="126">
        <v>0.53360981308411204</v>
      </c>
      <c r="F56" s="130" t="s">
        <v>129</v>
      </c>
    </row>
    <row r="57" spans="1:6" x14ac:dyDescent="0.25">
      <c r="A57" s="11" t="s">
        <v>13</v>
      </c>
      <c r="B57" s="127" t="s">
        <v>20</v>
      </c>
      <c r="C57" s="126" t="s">
        <v>20</v>
      </c>
      <c r="D57" s="126" t="s">
        <v>20</v>
      </c>
      <c r="E57" s="126" t="s">
        <v>20</v>
      </c>
      <c r="F57" s="130" t="s">
        <v>129</v>
      </c>
    </row>
    <row r="58" spans="1:6" x14ac:dyDescent="0.25">
      <c r="A58" s="11" t="s">
        <v>14</v>
      </c>
      <c r="B58" s="125">
        <v>0.240362626262627</v>
      </c>
      <c r="C58" s="126">
        <v>0.31932735426009001</v>
      </c>
      <c r="D58" s="126">
        <v>0.32036363636363602</v>
      </c>
      <c r="E58" s="126">
        <v>0.32077914798206297</v>
      </c>
      <c r="F58" s="130" t="s">
        <v>129</v>
      </c>
    </row>
    <row r="59" spans="1:6" x14ac:dyDescent="0.25">
      <c r="A59" s="11" t="s">
        <v>15</v>
      </c>
      <c r="B59" s="125">
        <v>0.55386888111888</v>
      </c>
      <c r="C59" s="126">
        <v>0.73169672131147601</v>
      </c>
      <c r="D59" s="126">
        <v>0.73426305220883603</v>
      </c>
      <c r="E59" s="126">
        <v>0.73401066350710797</v>
      </c>
      <c r="F59" s="130" t="s">
        <v>129</v>
      </c>
    </row>
    <row r="60" spans="1:6" x14ac:dyDescent="0.25">
      <c r="A60" s="11" t="s">
        <v>16</v>
      </c>
      <c r="B60" s="125">
        <v>1.10141885080645</v>
      </c>
      <c r="C60" s="126">
        <v>1.46538766519823</v>
      </c>
      <c r="D60" s="126">
        <v>1.4678495934959299</v>
      </c>
      <c r="E60" s="126">
        <v>1.46670636792453</v>
      </c>
      <c r="F60" s="130" t="s">
        <v>129</v>
      </c>
    </row>
    <row r="61" spans="1:6" x14ac:dyDescent="0.25">
      <c r="A61" s="11" t="s">
        <v>17</v>
      </c>
      <c r="B61" s="125">
        <v>0.13254993429697701</v>
      </c>
      <c r="C61" s="126">
        <v>0.16660688836104501</v>
      </c>
      <c r="D61" s="126">
        <v>0.16702545824847201</v>
      </c>
      <c r="E61" s="126">
        <v>0.16709420289855101</v>
      </c>
      <c r="F61" s="130" t="s">
        <v>129</v>
      </c>
    </row>
    <row r="62" spans="1:6" x14ac:dyDescent="0.25">
      <c r="A62" s="11" t="s">
        <v>18</v>
      </c>
      <c r="B62" s="125">
        <v>0.50588358974358905</v>
      </c>
      <c r="C62" s="126">
        <v>0.66648135198135094</v>
      </c>
      <c r="D62" s="126">
        <v>0.66682643794147101</v>
      </c>
      <c r="E62" s="126">
        <v>0.66761739130434705</v>
      </c>
      <c r="F62" s="130" t="s">
        <v>129</v>
      </c>
    </row>
    <row r="63" spans="1:6" x14ac:dyDescent="0.25">
      <c r="A63" s="11" t="s">
        <v>19</v>
      </c>
      <c r="B63" s="13" t="s">
        <v>20</v>
      </c>
      <c r="C63" s="115" t="s">
        <v>20</v>
      </c>
      <c r="D63" s="115" t="s">
        <v>20</v>
      </c>
      <c r="E63" s="115" t="s">
        <v>20</v>
      </c>
      <c r="F63" s="117" t="s">
        <v>20</v>
      </c>
    </row>
    <row r="64" spans="1:6" ht="15.75" thickBot="1" x14ac:dyDescent="0.3">
      <c r="A64" s="14" t="s">
        <v>126</v>
      </c>
      <c r="B64" s="118" t="s">
        <v>20</v>
      </c>
      <c r="C64" s="119" t="s">
        <v>20</v>
      </c>
      <c r="D64" s="119" t="s">
        <v>20</v>
      </c>
      <c r="E64" s="119" t="s">
        <v>20</v>
      </c>
      <c r="F64" s="120" t="s">
        <v>20</v>
      </c>
    </row>
    <row r="66" spans="1:10" ht="18.75" x14ac:dyDescent="0.3">
      <c r="A66" s="1" t="s">
        <v>57</v>
      </c>
    </row>
    <row r="67" spans="1:10" ht="15.75" thickBot="1" x14ac:dyDescent="0.3"/>
    <row r="68" spans="1:10" x14ac:dyDescent="0.25">
      <c r="A68" s="2" t="s">
        <v>1</v>
      </c>
      <c r="B68" s="3" t="s">
        <v>2</v>
      </c>
      <c r="C68" s="32" t="s">
        <v>3</v>
      </c>
      <c r="D68" s="32" t="s">
        <v>4</v>
      </c>
      <c r="E68" s="32" t="s">
        <v>5</v>
      </c>
      <c r="F68" s="62" t="s">
        <v>60</v>
      </c>
      <c r="G68" s="3" t="s">
        <v>2</v>
      </c>
      <c r="H68" s="32" t="s">
        <v>3</v>
      </c>
      <c r="I68" s="32" t="s">
        <v>4</v>
      </c>
      <c r="J68" s="33" t="s">
        <v>5</v>
      </c>
    </row>
    <row r="69" spans="1:10" x14ac:dyDescent="0.25">
      <c r="A69" s="4" t="s">
        <v>6</v>
      </c>
      <c r="B69" s="5" t="s">
        <v>7</v>
      </c>
      <c r="C69" s="34" t="s">
        <v>7</v>
      </c>
      <c r="D69" s="34" t="s">
        <v>7</v>
      </c>
      <c r="E69" s="34" t="s">
        <v>7</v>
      </c>
      <c r="F69" s="63" t="s">
        <v>58</v>
      </c>
      <c r="G69" s="5" t="s">
        <v>7</v>
      </c>
      <c r="H69" s="34" t="s">
        <v>7</v>
      </c>
      <c r="I69" s="34" t="s">
        <v>7</v>
      </c>
      <c r="J69" s="16" t="s">
        <v>7</v>
      </c>
    </row>
    <row r="70" spans="1:10" ht="15.75" thickBot="1" x14ac:dyDescent="0.3">
      <c r="A70" s="6" t="s">
        <v>8</v>
      </c>
      <c r="B70" s="7" t="s">
        <v>9</v>
      </c>
      <c r="C70" s="35" t="s">
        <v>9</v>
      </c>
      <c r="D70" s="35" t="s">
        <v>9</v>
      </c>
      <c r="E70" s="35" t="s">
        <v>9</v>
      </c>
      <c r="F70" s="64" t="s">
        <v>59</v>
      </c>
      <c r="G70" s="100" t="s">
        <v>9</v>
      </c>
      <c r="H70" s="101" t="s">
        <v>9</v>
      </c>
      <c r="I70" s="101" t="s">
        <v>9</v>
      </c>
      <c r="J70" s="102" t="s">
        <v>9</v>
      </c>
    </row>
    <row r="71" spans="1:10" x14ac:dyDescent="0.25">
      <c r="A71" s="8" t="s">
        <v>10</v>
      </c>
      <c r="B71" s="137">
        <f>0.03</f>
        <v>0.03</v>
      </c>
      <c r="C71" s="138">
        <v>0.04</v>
      </c>
      <c r="D71" s="138">
        <v>0.04</v>
      </c>
      <c r="E71" s="138">
        <v>0.04</v>
      </c>
      <c r="F71" s="140">
        <f>(227.5/(24*365))</f>
        <v>2.5970319634703195E-2</v>
      </c>
      <c r="G71" s="137">
        <f t="shared" ref="G71:G81" si="0">B71+F71</f>
        <v>5.5970319634703197E-2</v>
      </c>
      <c r="H71" s="138">
        <f t="shared" ref="H71:H79" si="1">C71+F71</f>
        <v>6.5970319634703192E-2</v>
      </c>
      <c r="I71" s="138">
        <f t="shared" ref="I71:I79" si="2">D71+F71</f>
        <v>6.5970319634703192E-2</v>
      </c>
      <c r="J71" s="121">
        <f t="shared" ref="J71:J79" si="3">E71+F71</f>
        <v>6.5970319634703192E-2</v>
      </c>
    </row>
    <row r="72" spans="1:10" x14ac:dyDescent="0.25">
      <c r="A72" s="11" t="s">
        <v>11</v>
      </c>
      <c r="B72" s="141">
        <v>0.12</v>
      </c>
      <c r="C72" s="136">
        <v>0.16</v>
      </c>
      <c r="D72" s="136">
        <v>0.16</v>
      </c>
      <c r="E72" s="136">
        <v>0.16</v>
      </c>
      <c r="F72" s="143">
        <f>(910/(24*365))</f>
        <v>0.10388127853881278</v>
      </c>
      <c r="G72" s="141">
        <f t="shared" si="0"/>
        <v>0.22388127853881279</v>
      </c>
      <c r="H72" s="136">
        <f t="shared" si="1"/>
        <v>0.26388127853881277</v>
      </c>
      <c r="I72" s="136">
        <f t="shared" si="2"/>
        <v>0.26388127853881277</v>
      </c>
      <c r="J72" s="122">
        <f t="shared" si="3"/>
        <v>0.26388127853881277</v>
      </c>
    </row>
    <row r="73" spans="1:10" x14ac:dyDescent="0.25">
      <c r="A73" s="11" t="s">
        <v>12</v>
      </c>
      <c r="B73" s="141">
        <v>0.24</v>
      </c>
      <c r="C73" s="136">
        <v>0.32</v>
      </c>
      <c r="D73" s="136">
        <v>0.32</v>
      </c>
      <c r="E73" s="136">
        <v>0.32</v>
      </c>
      <c r="F73" s="143">
        <f>(1820/(24*365))</f>
        <v>0.20776255707762556</v>
      </c>
      <c r="G73" s="141">
        <f t="shared" si="0"/>
        <v>0.44776255707762558</v>
      </c>
      <c r="H73" s="136">
        <f t="shared" si="1"/>
        <v>0.52776255707762554</v>
      </c>
      <c r="I73" s="136">
        <f t="shared" si="2"/>
        <v>0.52776255707762554</v>
      </c>
      <c r="J73" s="122">
        <f t="shared" si="3"/>
        <v>0.52776255707762554</v>
      </c>
    </row>
    <row r="74" spans="1:10" x14ac:dyDescent="0.25">
      <c r="A74" s="11" t="s">
        <v>13</v>
      </c>
      <c r="B74" s="141">
        <v>7.0000000000000001E-3</v>
      </c>
      <c r="C74" s="136">
        <v>0.01</v>
      </c>
      <c r="D74" s="136">
        <v>0.01</v>
      </c>
      <c r="E74" s="136">
        <v>0.01</v>
      </c>
      <c r="F74" s="143">
        <f>(54/(24*365))</f>
        <v>6.1643835616438354E-3</v>
      </c>
      <c r="G74" s="141">
        <f t="shared" si="0"/>
        <v>1.3164383561643836E-2</v>
      </c>
      <c r="H74" s="136">
        <f t="shared" si="1"/>
        <v>1.6164383561643837E-2</v>
      </c>
      <c r="I74" s="136">
        <f t="shared" si="2"/>
        <v>1.6164383561643837E-2</v>
      </c>
      <c r="J74" s="122">
        <f t="shared" si="3"/>
        <v>1.6164383561643837E-2</v>
      </c>
    </row>
    <row r="75" spans="1:10" x14ac:dyDescent="0.25">
      <c r="A75" s="11" t="s">
        <v>14</v>
      </c>
      <c r="B75" s="141">
        <v>0.17</v>
      </c>
      <c r="C75" s="136">
        <v>0.24</v>
      </c>
      <c r="D75" s="136">
        <v>0.24</v>
      </c>
      <c r="E75" s="136">
        <v>0.24</v>
      </c>
      <c r="F75" s="143">
        <f>(1325/(24*365))</f>
        <v>0.15125570776255709</v>
      </c>
      <c r="G75" s="141">
        <f t="shared" si="0"/>
        <v>0.32125570776255707</v>
      </c>
      <c r="H75" s="136">
        <f t="shared" si="1"/>
        <v>0.39125570776255708</v>
      </c>
      <c r="I75" s="136">
        <f t="shared" si="2"/>
        <v>0.39125570776255708</v>
      </c>
      <c r="J75" s="122">
        <f t="shared" si="3"/>
        <v>0.39125570776255708</v>
      </c>
    </row>
    <row r="76" spans="1:10" x14ac:dyDescent="0.25">
      <c r="A76" s="11" t="s">
        <v>15</v>
      </c>
      <c r="B76" s="141">
        <v>0.34</v>
      </c>
      <c r="C76" s="136">
        <v>0.48</v>
      </c>
      <c r="D76" s="136">
        <v>0.48</v>
      </c>
      <c r="E76" s="136">
        <v>0.48</v>
      </c>
      <c r="F76" s="143">
        <f>(2650/(24*365))</f>
        <v>0.30251141552511418</v>
      </c>
      <c r="G76" s="141">
        <f t="shared" si="0"/>
        <v>0.64251141552511415</v>
      </c>
      <c r="H76" s="136">
        <f t="shared" si="1"/>
        <v>0.78251141552511416</v>
      </c>
      <c r="I76" s="136">
        <f t="shared" si="2"/>
        <v>0.78251141552511416</v>
      </c>
      <c r="J76" s="122">
        <f t="shared" si="3"/>
        <v>0.78251141552511416</v>
      </c>
    </row>
    <row r="77" spans="1:10" x14ac:dyDescent="0.25">
      <c r="A77" s="11" t="s">
        <v>16</v>
      </c>
      <c r="B77" s="141">
        <v>0.68</v>
      </c>
      <c r="C77" s="136">
        <v>0.96</v>
      </c>
      <c r="D77" s="136">
        <v>0.96</v>
      </c>
      <c r="E77" s="136">
        <v>0.96</v>
      </c>
      <c r="F77" s="143">
        <f>(5300/(24*365))</f>
        <v>0.60502283105022836</v>
      </c>
      <c r="G77" s="141">
        <f t="shared" si="0"/>
        <v>1.2850228310502283</v>
      </c>
      <c r="H77" s="136">
        <f t="shared" si="1"/>
        <v>1.5650228310502283</v>
      </c>
      <c r="I77" s="136">
        <f t="shared" si="2"/>
        <v>1.5650228310502283</v>
      </c>
      <c r="J77" s="122">
        <f t="shared" si="3"/>
        <v>1.5650228310502283</v>
      </c>
    </row>
    <row r="78" spans="1:10" x14ac:dyDescent="0.25">
      <c r="A78" s="11" t="s">
        <v>17</v>
      </c>
      <c r="B78" s="141">
        <v>0.06</v>
      </c>
      <c r="C78" s="136">
        <v>0.08</v>
      </c>
      <c r="D78" s="136">
        <v>0.08</v>
      </c>
      <c r="E78" s="136">
        <v>0.08</v>
      </c>
      <c r="F78" s="143">
        <f>(455/(24*365))</f>
        <v>5.194063926940639E-2</v>
      </c>
      <c r="G78" s="141">
        <f t="shared" si="0"/>
        <v>0.11194063926940639</v>
      </c>
      <c r="H78" s="136">
        <f t="shared" si="1"/>
        <v>0.13194063926940638</v>
      </c>
      <c r="I78" s="136">
        <f t="shared" si="2"/>
        <v>0.13194063926940638</v>
      </c>
      <c r="J78" s="122">
        <f t="shared" si="3"/>
        <v>0.13194063926940638</v>
      </c>
    </row>
    <row r="79" spans="1:10" x14ac:dyDescent="0.25">
      <c r="A79" s="11" t="s">
        <v>18</v>
      </c>
      <c r="B79" s="141">
        <v>0.24</v>
      </c>
      <c r="C79" s="136">
        <v>0.32</v>
      </c>
      <c r="D79" s="136">
        <v>0.32</v>
      </c>
      <c r="E79" s="136">
        <v>0.32</v>
      </c>
      <c r="F79" s="143">
        <f>(1820/(24*365))</f>
        <v>0.20776255707762556</v>
      </c>
      <c r="G79" s="141">
        <f t="shared" si="0"/>
        <v>0.44776255707762558</v>
      </c>
      <c r="H79" s="136">
        <f t="shared" si="1"/>
        <v>0.52776255707762554</v>
      </c>
      <c r="I79" s="136">
        <f t="shared" si="2"/>
        <v>0.52776255707762554</v>
      </c>
      <c r="J79" s="122">
        <f t="shared" si="3"/>
        <v>0.52776255707762554</v>
      </c>
    </row>
    <row r="80" spans="1:10" x14ac:dyDescent="0.25">
      <c r="A80" s="11" t="s">
        <v>19</v>
      </c>
      <c r="B80" s="141">
        <v>0.56000000000000005</v>
      </c>
      <c r="C80" s="126" t="s">
        <v>20</v>
      </c>
      <c r="D80" s="126" t="s">
        <v>20</v>
      </c>
      <c r="E80" s="126" t="s">
        <v>20</v>
      </c>
      <c r="F80" s="143">
        <f>(4290/(24*365))</f>
        <v>0.48972602739726029</v>
      </c>
      <c r="G80" s="141">
        <f t="shared" si="0"/>
        <v>1.0497260273972604</v>
      </c>
      <c r="H80" s="126" t="s">
        <v>20</v>
      </c>
      <c r="I80" s="126" t="s">
        <v>20</v>
      </c>
      <c r="J80" s="130" t="s">
        <v>20</v>
      </c>
    </row>
    <row r="81" spans="1:10" ht="15.75" thickBot="1" x14ac:dyDescent="0.3">
      <c r="A81" s="14" t="s">
        <v>126</v>
      </c>
      <c r="B81" s="152">
        <v>0.74</v>
      </c>
      <c r="C81" s="132" t="s">
        <v>20</v>
      </c>
      <c r="D81" s="132" t="s">
        <v>20</v>
      </c>
      <c r="E81" s="132" t="s">
        <v>20</v>
      </c>
      <c r="F81" s="143">
        <f>(5630/(24*365))</f>
        <v>0.64269406392694062</v>
      </c>
      <c r="G81" s="152">
        <f t="shared" si="0"/>
        <v>1.3826940639269405</v>
      </c>
      <c r="H81" s="132" t="s">
        <v>20</v>
      </c>
      <c r="I81" s="132" t="s">
        <v>20</v>
      </c>
      <c r="J81" s="133" t="s">
        <v>20</v>
      </c>
    </row>
    <row r="82" spans="1:10" ht="15.75" thickBot="1" x14ac:dyDescent="0.3"/>
    <row r="83" spans="1:10" x14ac:dyDescent="0.25">
      <c r="A83" s="2" t="s">
        <v>1</v>
      </c>
      <c r="B83" s="3" t="s">
        <v>2</v>
      </c>
      <c r="C83" s="32" t="s">
        <v>3</v>
      </c>
      <c r="D83" s="32" t="s">
        <v>4</v>
      </c>
      <c r="E83" s="32" t="s">
        <v>5</v>
      </c>
      <c r="F83" s="62" t="s">
        <v>60</v>
      </c>
      <c r="G83" s="3" t="s">
        <v>2</v>
      </c>
      <c r="H83" s="32" t="s">
        <v>3</v>
      </c>
      <c r="I83" s="32" t="s">
        <v>4</v>
      </c>
      <c r="J83" s="33" t="s">
        <v>5</v>
      </c>
    </row>
    <row r="84" spans="1:10" x14ac:dyDescent="0.25">
      <c r="A84" s="4" t="s">
        <v>6</v>
      </c>
      <c r="B84" s="5" t="s">
        <v>21</v>
      </c>
      <c r="C84" s="34" t="s">
        <v>21</v>
      </c>
      <c r="D84" s="34" t="s">
        <v>21</v>
      </c>
      <c r="E84" s="34" t="s">
        <v>21</v>
      </c>
      <c r="F84" s="63" t="s">
        <v>58</v>
      </c>
      <c r="G84" s="5" t="s">
        <v>21</v>
      </c>
      <c r="H84" s="34" t="s">
        <v>21</v>
      </c>
      <c r="I84" s="34" t="s">
        <v>21</v>
      </c>
      <c r="J84" s="16" t="s">
        <v>21</v>
      </c>
    </row>
    <row r="85" spans="1:10" ht="15.75" thickBot="1" x14ac:dyDescent="0.3">
      <c r="A85" s="6" t="s">
        <v>8</v>
      </c>
      <c r="B85" s="7" t="s">
        <v>9</v>
      </c>
      <c r="C85" s="35" t="s">
        <v>9</v>
      </c>
      <c r="D85" s="35" t="s">
        <v>9</v>
      </c>
      <c r="E85" s="35" t="s">
        <v>9</v>
      </c>
      <c r="F85" s="64" t="s">
        <v>59</v>
      </c>
      <c r="G85" s="7" t="s">
        <v>9</v>
      </c>
      <c r="H85" s="35" t="s">
        <v>9</v>
      </c>
      <c r="I85" s="35" t="s">
        <v>9</v>
      </c>
      <c r="J85" s="17" t="s">
        <v>9</v>
      </c>
    </row>
    <row r="86" spans="1:10" x14ac:dyDescent="0.25">
      <c r="A86" s="8" t="s">
        <v>10</v>
      </c>
      <c r="B86" s="137">
        <v>0.05</v>
      </c>
      <c r="C86" s="138">
        <v>0.06</v>
      </c>
      <c r="D86" s="138">
        <v>0.06</v>
      </c>
      <c r="E86" s="138">
        <v>0.06</v>
      </c>
      <c r="F86" s="140">
        <f>(227.5/(24*365))</f>
        <v>2.5970319634703195E-2</v>
      </c>
      <c r="G86" s="137">
        <f t="shared" ref="G86:G94" si="4">B86+F86</f>
        <v>7.5970319634703201E-2</v>
      </c>
      <c r="H86" s="138">
        <f t="shared" ref="H86:H94" si="5">C86+F86</f>
        <v>8.5970319634703196E-2</v>
      </c>
      <c r="I86" s="138">
        <f t="shared" ref="I86:I94" si="6">D86+F86</f>
        <v>8.5970319634703196E-2</v>
      </c>
      <c r="J86" s="121">
        <f t="shared" ref="J86:J94" si="7">E86+F86</f>
        <v>8.5970319634703196E-2</v>
      </c>
    </row>
    <row r="87" spans="1:10" x14ac:dyDescent="0.25">
      <c r="A87" s="11" t="s">
        <v>11</v>
      </c>
      <c r="B87" s="141">
        <v>0.2</v>
      </c>
      <c r="C87" s="136">
        <v>0.24</v>
      </c>
      <c r="D87" s="136">
        <v>0.24</v>
      </c>
      <c r="E87" s="136">
        <v>0.24</v>
      </c>
      <c r="F87" s="143">
        <f>(910/(24*365))</f>
        <v>0.10388127853881278</v>
      </c>
      <c r="G87" s="141">
        <f t="shared" si="4"/>
        <v>0.3038812785388128</v>
      </c>
      <c r="H87" s="136">
        <f t="shared" si="5"/>
        <v>0.34388127853881278</v>
      </c>
      <c r="I87" s="136">
        <f t="shared" si="6"/>
        <v>0.34388127853881278</v>
      </c>
      <c r="J87" s="122">
        <f t="shared" si="7"/>
        <v>0.34388127853881278</v>
      </c>
    </row>
    <row r="88" spans="1:10" x14ac:dyDescent="0.25">
      <c r="A88" s="11" t="s">
        <v>12</v>
      </c>
      <c r="B88" s="141">
        <v>0.4</v>
      </c>
      <c r="C88" s="136">
        <v>0.48</v>
      </c>
      <c r="D88" s="136">
        <v>0.48</v>
      </c>
      <c r="E88" s="136">
        <v>0.48</v>
      </c>
      <c r="F88" s="143">
        <f>(1820/(24*365))</f>
        <v>0.20776255707762556</v>
      </c>
      <c r="G88" s="141">
        <f t="shared" si="4"/>
        <v>0.60776255707762561</v>
      </c>
      <c r="H88" s="136">
        <f t="shared" si="5"/>
        <v>0.68776255707762557</v>
      </c>
      <c r="I88" s="136">
        <f t="shared" si="6"/>
        <v>0.68776255707762557</v>
      </c>
      <c r="J88" s="122">
        <f t="shared" si="7"/>
        <v>0.68776255707762557</v>
      </c>
    </row>
    <row r="89" spans="1:10" x14ac:dyDescent="0.25">
      <c r="A89" s="11" t="s">
        <v>13</v>
      </c>
      <c r="B89" s="141">
        <v>1.2999999999999999E-2</v>
      </c>
      <c r="C89" s="136">
        <v>1.6E-2</v>
      </c>
      <c r="D89" s="136">
        <v>1.6E-2</v>
      </c>
      <c r="E89" s="136">
        <v>1.6E-2</v>
      </c>
      <c r="F89" s="143">
        <f>(54/(24*365))</f>
        <v>6.1643835616438354E-3</v>
      </c>
      <c r="G89" s="141">
        <f t="shared" si="4"/>
        <v>1.9164383561643836E-2</v>
      </c>
      <c r="H89" s="136">
        <f t="shared" si="5"/>
        <v>2.2164383561643835E-2</v>
      </c>
      <c r="I89" s="136">
        <f t="shared" si="6"/>
        <v>2.2164383561643835E-2</v>
      </c>
      <c r="J89" s="122">
        <f t="shared" si="7"/>
        <v>2.2164383561643835E-2</v>
      </c>
    </row>
    <row r="90" spans="1:10" x14ac:dyDescent="0.25">
      <c r="A90" s="11" t="s">
        <v>14</v>
      </c>
      <c r="B90" s="141">
        <v>0.24</v>
      </c>
      <c r="C90" s="136">
        <v>0.32</v>
      </c>
      <c r="D90" s="136">
        <v>0.32</v>
      </c>
      <c r="E90" s="136">
        <v>0.32</v>
      </c>
      <c r="F90" s="143">
        <f>(1325/(24*365))</f>
        <v>0.15125570776255709</v>
      </c>
      <c r="G90" s="141">
        <f t="shared" si="4"/>
        <v>0.39125570776255708</v>
      </c>
      <c r="H90" s="136">
        <f t="shared" si="5"/>
        <v>0.4712557077625571</v>
      </c>
      <c r="I90" s="136">
        <f t="shared" si="6"/>
        <v>0.4712557077625571</v>
      </c>
      <c r="J90" s="122">
        <f t="shared" si="7"/>
        <v>0.4712557077625571</v>
      </c>
    </row>
    <row r="91" spans="1:10" x14ac:dyDescent="0.25">
      <c r="A91" s="11" t="s">
        <v>15</v>
      </c>
      <c r="B91" s="141">
        <v>0.48</v>
      </c>
      <c r="C91" s="136">
        <v>0.64</v>
      </c>
      <c r="D91" s="136">
        <v>0.64</v>
      </c>
      <c r="E91" s="136">
        <v>0.64</v>
      </c>
      <c r="F91" s="143">
        <f>(2650/(24*365))</f>
        <v>0.30251141552511418</v>
      </c>
      <c r="G91" s="141">
        <f t="shared" si="4"/>
        <v>0.78251141552511416</v>
      </c>
      <c r="H91" s="136">
        <f t="shared" si="5"/>
        <v>0.94251141552511419</v>
      </c>
      <c r="I91" s="136">
        <f t="shared" si="6"/>
        <v>0.94251141552511419</v>
      </c>
      <c r="J91" s="122">
        <f t="shared" si="7"/>
        <v>0.94251141552511419</v>
      </c>
    </row>
    <row r="92" spans="1:10" x14ac:dyDescent="0.25">
      <c r="A92" s="11" t="s">
        <v>16</v>
      </c>
      <c r="B92" s="141">
        <v>0.96</v>
      </c>
      <c r="C92" s="136">
        <v>1.28</v>
      </c>
      <c r="D92" s="136">
        <v>1.28</v>
      </c>
      <c r="E92" s="136">
        <v>1.28</v>
      </c>
      <c r="F92" s="143">
        <f>(5300/(24*365))</f>
        <v>0.60502283105022836</v>
      </c>
      <c r="G92" s="141">
        <f t="shared" si="4"/>
        <v>1.5650228310502283</v>
      </c>
      <c r="H92" s="136">
        <f t="shared" si="5"/>
        <v>1.8850228310502284</v>
      </c>
      <c r="I92" s="136">
        <f t="shared" si="6"/>
        <v>1.8850228310502284</v>
      </c>
      <c r="J92" s="122">
        <f t="shared" si="7"/>
        <v>1.8850228310502284</v>
      </c>
    </row>
    <row r="93" spans="1:10" x14ac:dyDescent="0.25">
      <c r="A93" s="11" t="s">
        <v>17</v>
      </c>
      <c r="B93" s="141">
        <v>0.125</v>
      </c>
      <c r="C93" s="136">
        <v>0.14499999999999999</v>
      </c>
      <c r="D93" s="136">
        <v>0.14499999999999999</v>
      </c>
      <c r="E93" s="136">
        <v>0.14499999999999999</v>
      </c>
      <c r="F93" s="143">
        <f>(455/(24*365))</f>
        <v>5.194063926940639E-2</v>
      </c>
      <c r="G93" s="141">
        <f t="shared" si="4"/>
        <v>0.1769406392694064</v>
      </c>
      <c r="H93" s="136">
        <f t="shared" si="5"/>
        <v>0.19694063926940639</v>
      </c>
      <c r="I93" s="136">
        <f t="shared" si="6"/>
        <v>0.19694063926940639</v>
      </c>
      <c r="J93" s="122">
        <f t="shared" si="7"/>
        <v>0.19694063926940639</v>
      </c>
    </row>
    <row r="94" spans="1:10" x14ac:dyDescent="0.25">
      <c r="A94" s="11" t="s">
        <v>18</v>
      </c>
      <c r="B94" s="141">
        <v>0.5</v>
      </c>
      <c r="C94" s="136">
        <v>0.57999999999999996</v>
      </c>
      <c r="D94" s="136">
        <v>0.57999999999999996</v>
      </c>
      <c r="E94" s="136">
        <v>0.57999999999999996</v>
      </c>
      <c r="F94" s="143">
        <f>(1820/(24*365))</f>
        <v>0.20776255707762556</v>
      </c>
      <c r="G94" s="141">
        <f t="shared" si="4"/>
        <v>0.70776255707762559</v>
      </c>
      <c r="H94" s="136">
        <f t="shared" si="5"/>
        <v>0.78776255707762555</v>
      </c>
      <c r="I94" s="136">
        <f t="shared" si="6"/>
        <v>0.78776255707762555</v>
      </c>
      <c r="J94" s="122">
        <f t="shared" si="7"/>
        <v>0.78776255707762555</v>
      </c>
    </row>
    <row r="95" spans="1:10" x14ac:dyDescent="0.25">
      <c r="A95" s="11" t="s">
        <v>19</v>
      </c>
      <c r="B95" s="127" t="s">
        <v>20</v>
      </c>
      <c r="C95" s="126" t="s">
        <v>20</v>
      </c>
      <c r="D95" s="126" t="s">
        <v>20</v>
      </c>
      <c r="E95" s="126" t="s">
        <v>20</v>
      </c>
      <c r="F95" s="157" t="s">
        <v>20</v>
      </c>
      <c r="G95" s="127" t="s">
        <v>20</v>
      </c>
      <c r="H95" s="126" t="s">
        <v>20</v>
      </c>
      <c r="I95" s="126" t="s">
        <v>20</v>
      </c>
      <c r="J95" s="130" t="s">
        <v>20</v>
      </c>
    </row>
    <row r="96" spans="1:10" ht="15.75" thickBot="1" x14ac:dyDescent="0.3">
      <c r="A96" s="14" t="s">
        <v>126</v>
      </c>
      <c r="B96" s="131" t="s">
        <v>20</v>
      </c>
      <c r="C96" s="132" t="s">
        <v>20</v>
      </c>
      <c r="D96" s="132" t="s">
        <v>20</v>
      </c>
      <c r="E96" s="132" t="s">
        <v>20</v>
      </c>
      <c r="F96" s="158" t="s">
        <v>20</v>
      </c>
      <c r="G96" s="131" t="s">
        <v>20</v>
      </c>
      <c r="H96" s="132" t="s">
        <v>20</v>
      </c>
      <c r="I96" s="132" t="s">
        <v>20</v>
      </c>
      <c r="J96" s="133" t="s">
        <v>20</v>
      </c>
    </row>
    <row r="97" spans="1:7" ht="15.75" thickBot="1" x14ac:dyDescent="0.3"/>
    <row r="98" spans="1:7" x14ac:dyDescent="0.25">
      <c r="A98" s="2" t="s">
        <v>1</v>
      </c>
      <c r="B98" s="154" t="s">
        <v>125</v>
      </c>
      <c r="C98" s="8" t="s">
        <v>125</v>
      </c>
      <c r="D98" s="154" t="s">
        <v>125</v>
      </c>
      <c r="E98" s="8" t="s">
        <v>125</v>
      </c>
      <c r="F98" s="8" t="s">
        <v>125</v>
      </c>
      <c r="G98" s="91"/>
    </row>
    <row r="99" spans="1:7" x14ac:dyDescent="0.25">
      <c r="A99" s="4" t="s">
        <v>6</v>
      </c>
      <c r="B99" s="155" t="s">
        <v>7</v>
      </c>
      <c r="C99" s="163" t="s">
        <v>21</v>
      </c>
      <c r="D99" s="165" t="s">
        <v>58</v>
      </c>
      <c r="E99" s="163" t="s">
        <v>7</v>
      </c>
      <c r="F99" s="11" t="s">
        <v>21</v>
      </c>
      <c r="G99" s="159"/>
    </row>
    <row r="100" spans="1:7" ht="15.75" thickBot="1" x14ac:dyDescent="0.3">
      <c r="A100" s="6" t="s">
        <v>8</v>
      </c>
      <c r="B100" s="156" t="s">
        <v>9</v>
      </c>
      <c r="C100" s="164" t="s">
        <v>9</v>
      </c>
      <c r="D100" s="166" t="s">
        <v>133</v>
      </c>
      <c r="E100" s="171" t="s">
        <v>9</v>
      </c>
      <c r="F100" s="171" t="s">
        <v>9</v>
      </c>
      <c r="G100" s="160"/>
    </row>
    <row r="101" spans="1:7" x14ac:dyDescent="0.25">
      <c r="A101" s="8" t="s">
        <v>10</v>
      </c>
      <c r="B101" s="139">
        <v>4.4999999999999998E-2</v>
      </c>
      <c r="C101" s="140">
        <v>6.5000000000000002E-2</v>
      </c>
      <c r="D101" s="167">
        <f>(239/(24*365))</f>
        <v>2.7283105022831051E-2</v>
      </c>
      <c r="E101" s="167">
        <f>B101+D101</f>
        <v>7.2283105022831057E-2</v>
      </c>
      <c r="F101" s="140">
        <f>C101+D101</f>
        <v>9.2283105022831047E-2</v>
      </c>
      <c r="G101" s="161"/>
    </row>
    <row r="102" spans="1:7" x14ac:dyDescent="0.25">
      <c r="A102" s="11" t="s">
        <v>11</v>
      </c>
      <c r="B102" s="142">
        <v>0.18</v>
      </c>
      <c r="C102" s="143">
        <v>0.26</v>
      </c>
      <c r="D102" s="168">
        <f>(956/(24*365))</f>
        <v>0.10913242009132421</v>
      </c>
      <c r="E102" s="168">
        <f>B102+D102</f>
        <v>0.28913242009132423</v>
      </c>
      <c r="F102" s="143">
        <f>C102+D102</f>
        <v>0.36913242009132419</v>
      </c>
      <c r="G102" s="161"/>
    </row>
    <row r="103" spans="1:7" x14ac:dyDescent="0.25">
      <c r="A103" s="11" t="s">
        <v>12</v>
      </c>
      <c r="B103" s="142">
        <v>0.36</v>
      </c>
      <c r="C103" s="143">
        <v>0.52</v>
      </c>
      <c r="D103" s="168">
        <f>(1911/(24*365))</f>
        <v>0.21815068493150686</v>
      </c>
      <c r="E103" s="168">
        <f t="shared" ref="E103:E109" si="8">B103+D103</f>
        <v>0.57815068493150679</v>
      </c>
      <c r="F103" s="143">
        <f t="shared" ref="F103:F109" si="9">C103+D103</f>
        <v>0.73815068493150693</v>
      </c>
      <c r="G103" s="161"/>
    </row>
    <row r="104" spans="1:7" x14ac:dyDescent="0.25">
      <c r="A104" s="11" t="s">
        <v>13</v>
      </c>
      <c r="B104" s="142">
        <v>1.0999999999999999E-2</v>
      </c>
      <c r="C104" s="143">
        <v>2.1000000000000001E-2</v>
      </c>
      <c r="D104" s="168">
        <f>(57/(24*365))</f>
        <v>6.5068493150684933E-3</v>
      </c>
      <c r="E104" s="168">
        <f t="shared" si="8"/>
        <v>1.7506849315068494E-2</v>
      </c>
      <c r="F104" s="143">
        <f t="shared" si="9"/>
        <v>2.7506849315068495E-2</v>
      </c>
      <c r="G104" s="161"/>
    </row>
    <row r="105" spans="1:7" x14ac:dyDescent="0.25">
      <c r="A105" s="11" t="s">
        <v>14</v>
      </c>
      <c r="B105" s="142">
        <v>0.27</v>
      </c>
      <c r="C105" s="143">
        <v>0.34</v>
      </c>
      <c r="D105" s="168">
        <f>(1391/(24*365))</f>
        <v>0.15878995433789955</v>
      </c>
      <c r="E105" s="168">
        <f t="shared" si="8"/>
        <v>0.42878995433789957</v>
      </c>
      <c r="F105" s="143">
        <f t="shared" si="9"/>
        <v>0.49878995433789958</v>
      </c>
      <c r="G105" s="161"/>
    </row>
    <row r="106" spans="1:7" x14ac:dyDescent="0.25">
      <c r="A106" s="11" t="s">
        <v>15</v>
      </c>
      <c r="B106" s="142">
        <v>0.54</v>
      </c>
      <c r="C106" s="143">
        <v>0.68</v>
      </c>
      <c r="D106" s="168">
        <f>(2783/(24*365))</f>
        <v>0.31769406392694066</v>
      </c>
      <c r="E106" s="168">
        <f t="shared" si="8"/>
        <v>0.8576940639269407</v>
      </c>
      <c r="F106" s="143">
        <f t="shared" si="9"/>
        <v>0.99769406392694071</v>
      </c>
      <c r="G106" s="161"/>
    </row>
    <row r="107" spans="1:7" x14ac:dyDescent="0.25">
      <c r="A107" s="11" t="s">
        <v>16</v>
      </c>
      <c r="B107" s="142">
        <v>1.07</v>
      </c>
      <c r="C107" s="143">
        <v>1.36</v>
      </c>
      <c r="D107" s="168">
        <f>(5565/(24*365))</f>
        <v>0.63527397260273977</v>
      </c>
      <c r="E107" s="168">
        <f t="shared" si="8"/>
        <v>1.7052739726027397</v>
      </c>
      <c r="F107" s="143">
        <f t="shared" si="9"/>
        <v>1.9952739726027398</v>
      </c>
      <c r="G107" s="161"/>
    </row>
    <row r="108" spans="1:7" x14ac:dyDescent="0.25">
      <c r="A108" s="11" t="s">
        <v>17</v>
      </c>
      <c r="B108" s="142">
        <v>0.09</v>
      </c>
      <c r="C108" s="143">
        <v>0.16</v>
      </c>
      <c r="D108" s="168">
        <f>(478/(24*365))</f>
        <v>5.4566210045662103E-2</v>
      </c>
      <c r="E108" s="168">
        <f t="shared" si="8"/>
        <v>0.14456621004566211</v>
      </c>
      <c r="F108" s="143">
        <f t="shared" si="9"/>
        <v>0.21456621004566212</v>
      </c>
      <c r="G108" s="161"/>
    </row>
    <row r="109" spans="1:7" x14ac:dyDescent="0.25">
      <c r="A109" s="11" t="s">
        <v>18</v>
      </c>
      <c r="B109" s="142">
        <v>0.36</v>
      </c>
      <c r="C109" s="143">
        <v>0.64</v>
      </c>
      <c r="D109" s="168">
        <f>(1911/(24*365))</f>
        <v>0.21815068493150686</v>
      </c>
      <c r="E109" s="168">
        <f t="shared" si="8"/>
        <v>0.57815068493150679</v>
      </c>
      <c r="F109" s="143">
        <f t="shared" si="9"/>
        <v>0.85815068493150681</v>
      </c>
      <c r="G109" s="161"/>
    </row>
    <row r="110" spans="1:7" x14ac:dyDescent="0.25">
      <c r="A110" s="11" t="s">
        <v>19</v>
      </c>
      <c r="B110" s="147" t="s">
        <v>20</v>
      </c>
      <c r="C110" s="157" t="s">
        <v>20</v>
      </c>
      <c r="D110" s="169" t="s">
        <v>20</v>
      </c>
      <c r="E110" s="169" t="s">
        <v>20</v>
      </c>
      <c r="F110" s="157" t="s">
        <v>20</v>
      </c>
      <c r="G110" s="162"/>
    </row>
    <row r="111" spans="1:7" ht="15.75" thickBot="1" x14ac:dyDescent="0.3">
      <c r="A111" s="14" t="s">
        <v>126</v>
      </c>
      <c r="B111" s="148" t="s">
        <v>20</v>
      </c>
      <c r="C111" s="158" t="s">
        <v>20</v>
      </c>
      <c r="D111" s="170" t="s">
        <v>20</v>
      </c>
      <c r="E111" s="170" t="s">
        <v>20</v>
      </c>
      <c r="F111" s="158" t="s">
        <v>20</v>
      </c>
      <c r="G111" s="162"/>
    </row>
    <row r="113" spans="1:6" ht="18.75" x14ac:dyDescent="0.3">
      <c r="A113" s="1" t="s">
        <v>124</v>
      </c>
    </row>
    <row r="114" spans="1:6" ht="15.75" thickBot="1" x14ac:dyDescent="0.3"/>
    <row r="115" spans="1:6" x14ac:dyDescent="0.25">
      <c r="A115" s="2" t="s">
        <v>1</v>
      </c>
      <c r="B115" s="3" t="s">
        <v>2</v>
      </c>
      <c r="C115" s="32" t="s">
        <v>3</v>
      </c>
      <c r="D115" s="32" t="s">
        <v>4</v>
      </c>
      <c r="E115" s="32" t="s">
        <v>5</v>
      </c>
      <c r="F115" s="33" t="s">
        <v>125</v>
      </c>
    </row>
    <row r="116" spans="1:6" ht="15.75" thickBot="1" x14ac:dyDescent="0.3">
      <c r="A116" s="6" t="s">
        <v>29</v>
      </c>
      <c r="B116" s="7" t="s">
        <v>25</v>
      </c>
      <c r="C116" s="35" t="s">
        <v>25</v>
      </c>
      <c r="D116" s="35" t="s">
        <v>25</v>
      </c>
      <c r="E116" s="35" t="s">
        <v>25</v>
      </c>
      <c r="F116" s="17" t="s">
        <v>25</v>
      </c>
    </row>
    <row r="117" spans="1:6" x14ac:dyDescent="0.25">
      <c r="A117" s="103" t="s">
        <v>30</v>
      </c>
      <c r="B117" s="137">
        <v>0.1</v>
      </c>
      <c r="C117" s="150">
        <v>0.1</v>
      </c>
      <c r="D117" s="150">
        <v>0.1</v>
      </c>
      <c r="E117" s="150">
        <v>0.1</v>
      </c>
      <c r="F117" s="134">
        <v>0.1</v>
      </c>
    </row>
    <row r="118" spans="1:6" x14ac:dyDescent="0.25">
      <c r="A118" s="53" t="s">
        <v>31</v>
      </c>
      <c r="B118" s="141">
        <v>0</v>
      </c>
      <c r="C118" s="151">
        <v>0</v>
      </c>
      <c r="D118" s="151">
        <v>0</v>
      </c>
      <c r="E118" s="136">
        <v>0</v>
      </c>
      <c r="F118" s="122">
        <v>0</v>
      </c>
    </row>
    <row r="119" spans="1:6" x14ac:dyDescent="0.25">
      <c r="A119" s="53" t="s">
        <v>32</v>
      </c>
      <c r="B119" s="141">
        <v>0.15</v>
      </c>
      <c r="C119" s="151">
        <v>0.15</v>
      </c>
      <c r="D119" s="151">
        <v>0.15</v>
      </c>
      <c r="E119" s="136">
        <v>0.19</v>
      </c>
      <c r="F119" s="122">
        <v>0.20100000000000001</v>
      </c>
    </row>
    <row r="120" spans="1:6" x14ac:dyDescent="0.25">
      <c r="A120" s="53" t="s">
        <v>33</v>
      </c>
      <c r="B120" s="141">
        <v>0.11</v>
      </c>
      <c r="C120" s="151">
        <v>0.11</v>
      </c>
      <c r="D120" s="151">
        <v>0.11</v>
      </c>
      <c r="E120" s="136">
        <v>0.15</v>
      </c>
      <c r="F120" s="122">
        <v>0.158</v>
      </c>
    </row>
    <row r="121" spans="1:6" x14ac:dyDescent="0.25">
      <c r="A121" s="53" t="s">
        <v>34</v>
      </c>
      <c r="B121" s="141">
        <v>0.09</v>
      </c>
      <c r="C121" s="151">
        <v>0.09</v>
      </c>
      <c r="D121" s="151">
        <v>0.09</v>
      </c>
      <c r="E121" s="136">
        <v>0.13</v>
      </c>
      <c r="F121" s="122">
        <v>0.13700000000000001</v>
      </c>
    </row>
    <row r="122" spans="1:6" ht="15.75" thickBot="1" x14ac:dyDescent="0.3">
      <c r="A122" s="56" t="s">
        <v>35</v>
      </c>
      <c r="B122" s="152">
        <v>0.08</v>
      </c>
      <c r="C122" s="153">
        <v>0.08</v>
      </c>
      <c r="D122" s="153">
        <v>0.08</v>
      </c>
      <c r="E122" s="145">
        <v>0.12</v>
      </c>
      <c r="F122" s="146">
        <v>0.127</v>
      </c>
    </row>
    <row r="124" spans="1:6" ht="18.75" x14ac:dyDescent="0.3">
      <c r="A124" s="1" t="s">
        <v>23</v>
      </c>
    </row>
    <row r="125" spans="1:6" ht="15.75" thickBot="1" x14ac:dyDescent="0.3"/>
    <row r="126" spans="1:6" x14ac:dyDescent="0.25">
      <c r="A126" s="2" t="s">
        <v>1</v>
      </c>
      <c r="B126" s="3" t="s">
        <v>2</v>
      </c>
      <c r="C126" s="32" t="s">
        <v>3</v>
      </c>
      <c r="D126" s="32" t="s">
        <v>4</v>
      </c>
      <c r="E126" s="32" t="s">
        <v>5</v>
      </c>
      <c r="F126" s="33" t="s">
        <v>125</v>
      </c>
    </row>
    <row r="127" spans="1:6" ht="15.75" thickBot="1" x14ac:dyDescent="0.3">
      <c r="A127" s="6" t="s">
        <v>24</v>
      </c>
      <c r="B127" s="7" t="s">
        <v>25</v>
      </c>
      <c r="C127" s="35" t="s">
        <v>25</v>
      </c>
      <c r="D127" s="35" t="s">
        <v>25</v>
      </c>
      <c r="E127" s="35" t="s">
        <v>25</v>
      </c>
      <c r="F127" s="86" t="s">
        <v>25</v>
      </c>
    </row>
    <row r="128" spans="1:6" x14ac:dyDescent="0.25">
      <c r="A128" s="103" t="s">
        <v>130</v>
      </c>
      <c r="B128" s="111">
        <v>0.14000000000000001</v>
      </c>
      <c r="C128" s="112">
        <v>0.154</v>
      </c>
      <c r="D128" s="113">
        <v>0.14000000000000001</v>
      </c>
      <c r="E128" s="113">
        <v>0.14000000000000001</v>
      </c>
      <c r="F128" s="121">
        <v>0.15</v>
      </c>
    </row>
    <row r="129" spans="1:6" x14ac:dyDescent="0.25">
      <c r="A129" s="53" t="s">
        <v>131</v>
      </c>
      <c r="B129" s="24">
        <v>0.125</v>
      </c>
      <c r="C129" s="30">
        <v>0.13900000000000001</v>
      </c>
      <c r="D129" s="29">
        <v>0.125</v>
      </c>
      <c r="E129" s="29">
        <v>0.125</v>
      </c>
      <c r="F129" s="122">
        <v>0.13500000000000001</v>
      </c>
    </row>
    <row r="130" spans="1:6" x14ac:dyDescent="0.25">
      <c r="A130" s="53" t="s">
        <v>132</v>
      </c>
      <c r="B130" s="24">
        <v>0.11</v>
      </c>
      <c r="C130" s="30">
        <v>0.124</v>
      </c>
      <c r="D130" s="29">
        <v>0.11</v>
      </c>
      <c r="E130" s="29">
        <v>0.11</v>
      </c>
      <c r="F130" s="122">
        <v>0.12</v>
      </c>
    </row>
    <row r="131" spans="1:6" x14ac:dyDescent="0.25">
      <c r="A131" s="53" t="s">
        <v>26</v>
      </c>
      <c r="B131" s="24">
        <v>9.5000000000000001E-2</v>
      </c>
      <c r="C131" s="30">
        <v>0.109</v>
      </c>
      <c r="D131" s="29">
        <v>9.5000000000000001E-2</v>
      </c>
      <c r="E131" s="29">
        <v>9.5000000000000001E-2</v>
      </c>
      <c r="F131" s="122">
        <v>0.105</v>
      </c>
    </row>
    <row r="132" spans="1:6" x14ac:dyDescent="0.25">
      <c r="A132" s="53" t="s">
        <v>27</v>
      </c>
      <c r="B132" s="24">
        <v>0.08</v>
      </c>
      <c r="C132" s="30">
        <v>9.5000000000000001E-2</v>
      </c>
      <c r="D132" s="29">
        <v>0.08</v>
      </c>
      <c r="E132" s="29">
        <v>0.08</v>
      </c>
      <c r="F132" s="122">
        <v>0.09</v>
      </c>
    </row>
    <row r="133" spans="1:6" ht="15.75" thickBot="1" x14ac:dyDescent="0.3">
      <c r="A133" s="56" t="s">
        <v>28</v>
      </c>
      <c r="B133" s="114">
        <v>5.5E-2</v>
      </c>
      <c r="C133" s="37">
        <v>7.0000000000000007E-2</v>
      </c>
      <c r="D133" s="36">
        <v>5.5E-2</v>
      </c>
      <c r="E133" s="36">
        <v>5.5E-2</v>
      </c>
      <c r="F133" s="146">
        <v>6.5000000000000002E-2</v>
      </c>
    </row>
  </sheetData>
  <pageMargins left="0.7" right="0.7" top="0.75" bottom="0.75" header="0.3" footer="0.3"/>
  <pageSetup orientation="portrait" r:id="rId1"/>
  <customProperties>
    <customPr name="DVSECTION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134"/>
  <sheetViews>
    <sheetView showGridLines="0" topLeftCell="A130" workbookViewId="0">
      <selection activeCell="M155" sqref="M155"/>
    </sheetView>
  </sheetViews>
  <sheetFormatPr defaultRowHeight="15" x14ac:dyDescent="0.25"/>
  <cols>
    <col min="1" max="1" width="38.140625" customWidth="1"/>
    <col min="2" max="2" width="12.42578125" bestFit="1" customWidth="1"/>
    <col min="3" max="5" width="14" bestFit="1" customWidth="1"/>
  </cols>
  <sheetData>
    <row r="2" spans="1:1" ht="18.75" x14ac:dyDescent="0.3">
      <c r="A2" s="1" t="s">
        <v>36</v>
      </c>
    </row>
    <row r="35" spans="1:1" ht="18.75" x14ac:dyDescent="0.3">
      <c r="A35" s="1" t="s">
        <v>37</v>
      </c>
    </row>
    <row r="68" spans="1:1" ht="18.75" x14ac:dyDescent="0.3">
      <c r="A68" s="1" t="s">
        <v>38</v>
      </c>
    </row>
    <row r="101" spans="1:1" ht="18.75" x14ac:dyDescent="0.3">
      <c r="A101" s="1" t="s">
        <v>39</v>
      </c>
    </row>
    <row r="134" spans="1:1" ht="18.75" x14ac:dyDescent="0.3">
      <c r="A134" s="1" t="s">
        <v>134</v>
      </c>
    </row>
  </sheetData>
  <pageMargins left="0.7" right="0.7" top="0.75" bottom="0.75" header="0.3" footer="0.3"/>
  <pageSetup orientation="portrait" r:id="rId1"/>
  <customProperties>
    <customPr name="DVSECTION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C148"/>
  <sheetViews>
    <sheetView showGridLines="0" topLeftCell="A133" workbookViewId="0">
      <selection activeCell="M157" sqref="M157"/>
    </sheetView>
  </sheetViews>
  <sheetFormatPr defaultRowHeight="15" x14ac:dyDescent="0.25"/>
  <cols>
    <col min="1" max="1" width="38.140625" customWidth="1"/>
    <col min="2" max="2" width="12.42578125" bestFit="1" customWidth="1"/>
    <col min="3" max="5" width="14" bestFit="1" customWidth="1"/>
  </cols>
  <sheetData>
    <row r="2" spans="1:3" ht="18.75" x14ac:dyDescent="0.3">
      <c r="A2" s="1" t="s">
        <v>61</v>
      </c>
    </row>
    <row r="4" spans="1:3" x14ac:dyDescent="0.25">
      <c r="A4" s="66" t="s">
        <v>54</v>
      </c>
      <c r="B4" t="s">
        <v>43</v>
      </c>
      <c r="C4" t="s">
        <v>42</v>
      </c>
    </row>
    <row r="5" spans="1:3" x14ac:dyDescent="0.25">
      <c r="A5">
        <f>1*100</f>
        <v>100</v>
      </c>
      <c r="B5">
        <f>(PriceComparison!G71/PriceComparison!B7)*100</f>
        <v>65.8474348643567</v>
      </c>
      <c r="C5">
        <f>(PriceComparison!B39/PriceComparison!B7)*100</f>
        <v>43.294117647058819</v>
      </c>
    </row>
    <row r="6" spans="1:3" x14ac:dyDescent="0.25">
      <c r="A6">
        <f t="shared" ref="A6:A15" si="0">1*100</f>
        <v>100</v>
      </c>
      <c r="B6">
        <f>(PriceComparison!G72/PriceComparison!B8)*100</f>
        <v>65.8474348643567</v>
      </c>
      <c r="C6">
        <f>(PriceComparison!B40/PriceComparison!B8)*100</f>
        <v>37.705882352941181</v>
      </c>
    </row>
    <row r="7" spans="1:3" x14ac:dyDescent="0.25">
      <c r="A7">
        <f t="shared" si="0"/>
        <v>100</v>
      </c>
      <c r="B7">
        <f>(PriceComparison!G73/PriceComparison!B9)*100</f>
        <v>65.8474348643567</v>
      </c>
      <c r="C7">
        <f>(PriceComparison!B41/PriceComparison!B9)*100</f>
        <v>36.602941176470587</v>
      </c>
    </row>
    <row r="8" spans="1:3" x14ac:dyDescent="0.25">
      <c r="A8">
        <f t="shared" si="0"/>
        <v>100</v>
      </c>
      <c r="B8">
        <f>(PriceComparison!G74/PriceComparison!B10)*100</f>
        <v>65.821917808219183</v>
      </c>
      <c r="C8">
        <f>(PriceComparison!B42/PriceComparison!B10)*100</f>
        <v>61.5</v>
      </c>
    </row>
    <row r="9" spans="1:3" x14ac:dyDescent="0.25">
      <c r="A9">
        <f t="shared" si="0"/>
        <v>100</v>
      </c>
      <c r="B9">
        <f>(PriceComparison!G75/PriceComparison!B11)*100</f>
        <v>64.251141552511413</v>
      </c>
      <c r="C9">
        <f>(PriceComparison!B43/PriceComparison!B11)*100</f>
        <v>36.64</v>
      </c>
    </row>
    <row r="10" spans="1:3" x14ac:dyDescent="0.25">
      <c r="A10">
        <f t="shared" si="0"/>
        <v>100</v>
      </c>
      <c r="B10">
        <f>(PriceComparison!G76/PriceComparison!B12)*100</f>
        <v>64.251141552511413</v>
      </c>
      <c r="C10">
        <f>(PriceComparison!B44/PriceComparison!B12)*100</f>
        <v>38.68</v>
      </c>
    </row>
    <row r="11" spans="1:3" x14ac:dyDescent="0.25">
      <c r="A11">
        <f t="shared" si="0"/>
        <v>100</v>
      </c>
      <c r="B11">
        <f>(PriceComparison!G77/PriceComparison!B13)*100</f>
        <v>64.251141552511413</v>
      </c>
      <c r="C11">
        <f>(PriceComparison!B45/PriceComparison!B13)*100</f>
        <v>38.475000000000001</v>
      </c>
    </row>
    <row r="12" spans="1:3" x14ac:dyDescent="0.25">
      <c r="A12">
        <f t="shared" si="0"/>
        <v>100</v>
      </c>
      <c r="B12">
        <f>(PriceComparison!G78/PriceComparison!B14)*100</f>
        <v>65.8474348643567</v>
      </c>
      <c r="C12">
        <f>(PriceComparison!B46/PriceComparison!B14)*100</f>
        <v>39.235294117647051</v>
      </c>
    </row>
    <row r="13" spans="1:3" x14ac:dyDescent="0.25">
      <c r="A13">
        <f t="shared" si="0"/>
        <v>100</v>
      </c>
      <c r="B13">
        <f>(PriceComparison!G79/PriceComparison!B15)*100</f>
        <v>65.8474348643567</v>
      </c>
      <c r="C13">
        <f>(PriceComparison!B47/PriceComparison!B15)*100</f>
        <v>37.352941176470587</v>
      </c>
    </row>
    <row r="14" spans="1:3" x14ac:dyDescent="0.25">
      <c r="A14">
        <f t="shared" si="0"/>
        <v>100</v>
      </c>
      <c r="B14">
        <f>(PriceComparison!G80/PriceComparison!B16)*100</f>
        <v>65.607876712328775</v>
      </c>
      <c r="C14">
        <v>0</v>
      </c>
    </row>
    <row r="15" spans="1:3" x14ac:dyDescent="0.25">
      <c r="A15">
        <f t="shared" si="0"/>
        <v>100</v>
      </c>
      <c r="B15">
        <f>(PriceComparison!G81/PriceComparison!B17)*100</f>
        <v>65.842574472711448</v>
      </c>
      <c r="C15">
        <v>0</v>
      </c>
    </row>
    <row r="35" spans="1:3" ht="18.75" x14ac:dyDescent="0.3">
      <c r="A35" s="1" t="s">
        <v>62</v>
      </c>
    </row>
    <row r="39" spans="1:3" x14ac:dyDescent="0.25">
      <c r="A39" s="66" t="s">
        <v>54</v>
      </c>
      <c r="B39" t="s">
        <v>43</v>
      </c>
      <c r="C39" t="s">
        <v>42</v>
      </c>
    </row>
    <row r="40" spans="1:3" x14ac:dyDescent="0.25">
      <c r="A40">
        <f>1*100</f>
        <v>100</v>
      </c>
      <c r="B40">
        <f>(PriceComparison!H71/PriceComparison!C7)*100</f>
        <v>69.442441720740206</v>
      </c>
      <c r="C40">
        <f>(PriceComparison!C39/PriceComparison!C7)*100</f>
        <v>49.157894736842103</v>
      </c>
    </row>
    <row r="41" spans="1:3" x14ac:dyDescent="0.25">
      <c r="A41">
        <f t="shared" ref="A41:A48" si="1">1*100</f>
        <v>100</v>
      </c>
      <c r="B41">
        <f>(PriceComparison!H72/PriceComparison!C8)*100</f>
        <v>69.442441720740206</v>
      </c>
      <c r="C41">
        <f>(PriceComparison!C40/PriceComparison!C8)*100</f>
        <v>43.999999999999993</v>
      </c>
    </row>
    <row r="42" spans="1:3" x14ac:dyDescent="0.25">
      <c r="A42">
        <f t="shared" si="1"/>
        <v>100</v>
      </c>
      <c r="B42">
        <f>(PriceComparison!H73/PriceComparison!C9)*100</f>
        <v>69.442441720740206</v>
      </c>
      <c r="C42">
        <f>(PriceComparison!C41/PriceComparison!C9)*100</f>
        <v>42.986842105263158</v>
      </c>
    </row>
    <row r="43" spans="1:3" x14ac:dyDescent="0.25">
      <c r="A43">
        <f t="shared" si="1"/>
        <v>100</v>
      </c>
      <c r="B43">
        <f>(PriceComparison!H74/PriceComparison!C10)*100</f>
        <v>64.657534246575338</v>
      </c>
      <c r="C43">
        <f>(PriceComparison!C42/PriceComparison!C10)*100</f>
        <v>58.8</v>
      </c>
    </row>
    <row r="44" spans="1:3" x14ac:dyDescent="0.25">
      <c r="A44">
        <f t="shared" si="1"/>
        <v>100</v>
      </c>
      <c r="B44">
        <f>(PriceComparison!H75/PriceComparison!C11)*100</f>
        <v>68.641352239045105</v>
      </c>
      <c r="C44">
        <f>(PriceComparison!C43/PriceComparison!C11)*100</f>
        <v>43.280701754385973</v>
      </c>
    </row>
    <row r="45" spans="1:3" x14ac:dyDescent="0.25">
      <c r="A45">
        <f t="shared" si="1"/>
        <v>100</v>
      </c>
      <c r="B45">
        <f>(PriceComparison!H76/PriceComparison!C12)*100</f>
        <v>68.641352239045105</v>
      </c>
      <c r="C45">
        <f>(PriceComparison!C44/PriceComparison!C12)*100</f>
        <v>46.228070175438603</v>
      </c>
    </row>
    <row r="46" spans="1:3" x14ac:dyDescent="0.25">
      <c r="A46">
        <f t="shared" si="1"/>
        <v>100</v>
      </c>
      <c r="B46">
        <f>(PriceComparison!H77/PriceComparison!C13)*100</f>
        <v>68.641352239045105</v>
      </c>
      <c r="C46">
        <f>(PriceComparison!C45/PriceComparison!C13)*100</f>
        <v>45.912280701754391</v>
      </c>
    </row>
    <row r="47" spans="1:3" x14ac:dyDescent="0.25">
      <c r="A47">
        <f t="shared" si="1"/>
        <v>100</v>
      </c>
      <c r="B47">
        <f>(PriceComparison!H78/PriceComparison!C14)*100</f>
        <v>69.442441720740206</v>
      </c>
      <c r="C47">
        <f>(PriceComparison!C46/PriceComparison!C14)*100</f>
        <v>45.631578947368418</v>
      </c>
    </row>
    <row r="48" spans="1:3" x14ac:dyDescent="0.25">
      <c r="A48">
        <f t="shared" si="1"/>
        <v>100</v>
      </c>
      <c r="B48">
        <f>(PriceComparison!H79/PriceComparison!C15)*100</f>
        <v>69.442441720740206</v>
      </c>
      <c r="C48">
        <f>(PriceComparison!C47/PriceComparison!C15)*100</f>
        <v>42.986842105263158</v>
      </c>
    </row>
    <row r="49" spans="1:3" x14ac:dyDescent="0.25">
      <c r="A49">
        <v>0</v>
      </c>
      <c r="B49" t="e">
        <f>(PriceComparison!H80/PriceComparison!C16)*100</f>
        <v>#VALUE!</v>
      </c>
      <c r="C49" t="e">
        <f>(PriceComparison!C48/PriceComparison!C16)*100</f>
        <v>#VALUE!</v>
      </c>
    </row>
    <row r="68" spans="1:3" ht="18.75" x14ac:dyDescent="0.3">
      <c r="A68" s="1" t="s">
        <v>63</v>
      </c>
    </row>
    <row r="72" spans="1:3" x14ac:dyDescent="0.25">
      <c r="A72" s="66" t="s">
        <v>54</v>
      </c>
      <c r="B72" t="s">
        <v>43</v>
      </c>
      <c r="C72" t="s">
        <v>42</v>
      </c>
    </row>
    <row r="73" spans="1:3" x14ac:dyDescent="0.25">
      <c r="A73">
        <f>1*100</f>
        <v>100</v>
      </c>
      <c r="B73">
        <f>(PriceComparison!I71/PriceComparison!D7)*100</f>
        <v>69.442441720740206</v>
      </c>
      <c r="C73">
        <f>(PriceComparison!D39/PriceComparison!D7)*100</f>
        <v>49.368421052631575</v>
      </c>
    </row>
    <row r="74" spans="1:3" x14ac:dyDescent="0.25">
      <c r="A74">
        <f t="shared" ref="A74:A81" si="2">1*100</f>
        <v>100</v>
      </c>
      <c r="B74">
        <f>(PriceComparison!I72/PriceComparison!D8)*100</f>
        <v>69.442441720740206</v>
      </c>
      <c r="C74">
        <f>(PriceComparison!D40/PriceComparison!D8)*100</f>
        <v>43.868421052631575</v>
      </c>
    </row>
    <row r="75" spans="1:3" x14ac:dyDescent="0.25">
      <c r="A75">
        <f t="shared" si="2"/>
        <v>100</v>
      </c>
      <c r="B75">
        <f>(PriceComparison!I73/PriceComparison!D9)*100</f>
        <v>69.442441720740206</v>
      </c>
      <c r="C75">
        <f>(PriceComparison!D41/PriceComparison!D9)*100</f>
        <v>43.052631578947363</v>
      </c>
    </row>
    <row r="76" spans="1:3" x14ac:dyDescent="0.25">
      <c r="A76">
        <f t="shared" si="2"/>
        <v>100</v>
      </c>
      <c r="B76">
        <f>(PriceComparison!I74/PriceComparison!D10)*100</f>
        <v>64.657534246575338</v>
      </c>
      <c r="C76">
        <f>(PriceComparison!D42/PriceComparison!D10)*100</f>
        <v>52.400000000000006</v>
      </c>
    </row>
    <row r="77" spans="1:3" x14ac:dyDescent="0.25">
      <c r="A77">
        <f t="shared" si="2"/>
        <v>100</v>
      </c>
      <c r="B77">
        <f>(PriceComparison!I75/PriceComparison!D11)*100</f>
        <v>68.641352239045105</v>
      </c>
      <c r="C77">
        <f>(PriceComparison!D43/PriceComparison!D11)*100</f>
        <v>43.333333333333336</v>
      </c>
    </row>
    <row r="78" spans="1:3" x14ac:dyDescent="0.25">
      <c r="A78">
        <f t="shared" si="2"/>
        <v>100</v>
      </c>
      <c r="B78">
        <f>(PriceComparison!I76/PriceComparison!D12)*100</f>
        <v>68.641352239045105</v>
      </c>
      <c r="C78">
        <f>(PriceComparison!D44/PriceComparison!D12)*100</f>
        <v>46.228070175438603</v>
      </c>
    </row>
    <row r="79" spans="1:3" x14ac:dyDescent="0.25">
      <c r="A79">
        <f t="shared" si="2"/>
        <v>100</v>
      </c>
      <c r="B79">
        <f>(PriceComparison!I77/PriceComparison!D13)*100</f>
        <v>68.641352239045105</v>
      </c>
      <c r="C79">
        <f>(PriceComparison!D45/PriceComparison!D13)*100</f>
        <v>46.05263157894737</v>
      </c>
    </row>
    <row r="80" spans="1:3" x14ac:dyDescent="0.25">
      <c r="A80">
        <f t="shared" si="2"/>
        <v>100</v>
      </c>
      <c r="B80">
        <f>(PriceComparison!I78/PriceComparison!D14)*100</f>
        <v>69.442441720740206</v>
      </c>
      <c r="C80">
        <f>(PriceComparison!D46/PriceComparison!D14)*100</f>
        <v>45.526315789473685</v>
      </c>
    </row>
    <row r="81" spans="1:3" x14ac:dyDescent="0.25">
      <c r="A81">
        <f t="shared" si="2"/>
        <v>100</v>
      </c>
      <c r="B81">
        <f>(PriceComparison!I79/PriceComparison!D15)*100</f>
        <v>69.442441720740206</v>
      </c>
      <c r="C81">
        <f>(PriceComparison!D47/PriceComparison!D15)*100</f>
        <v>43.013157894736842</v>
      </c>
    </row>
    <row r="82" spans="1:3" x14ac:dyDescent="0.25">
      <c r="A82">
        <v>0</v>
      </c>
      <c r="B82" t="e">
        <f>(PriceComparison!I80/PriceComparison!D16)*100</f>
        <v>#VALUE!</v>
      </c>
      <c r="C82" t="e">
        <f>(PriceComparison!D48/PriceComparison!D16)*100</f>
        <v>#VALUE!</v>
      </c>
    </row>
    <row r="101" spans="1:3" ht="18.75" x14ac:dyDescent="0.3">
      <c r="A101" s="1" t="s">
        <v>64</v>
      </c>
    </row>
    <row r="104" spans="1:3" x14ac:dyDescent="0.25">
      <c r="A104" s="66" t="s">
        <v>54</v>
      </c>
      <c r="B104" t="s">
        <v>43</v>
      </c>
      <c r="C104" t="s">
        <v>42</v>
      </c>
    </row>
    <row r="105" spans="1:3" x14ac:dyDescent="0.25">
      <c r="A105">
        <f>1*100</f>
        <v>100</v>
      </c>
      <c r="B105">
        <f>(PriceComparison!J71/PriceComparison!E7)*100</f>
        <v>69.442441720740206</v>
      </c>
      <c r="C105">
        <f>(PriceComparison!E39/PriceComparison!E7)*100</f>
        <v>49.263157894736842</v>
      </c>
    </row>
    <row r="106" spans="1:3" x14ac:dyDescent="0.25">
      <c r="A106">
        <f t="shared" ref="A106:A113" si="3">1*100</f>
        <v>100</v>
      </c>
      <c r="B106">
        <f>(PriceComparison!J72/PriceComparison!E8)*100</f>
        <v>69.442441720740206</v>
      </c>
      <c r="C106">
        <f>(PriceComparison!E40/PriceComparison!E8)*100</f>
        <v>43.763157894736842</v>
      </c>
    </row>
    <row r="107" spans="1:3" x14ac:dyDescent="0.25">
      <c r="A107">
        <f t="shared" si="3"/>
        <v>100</v>
      </c>
      <c r="B107">
        <f>(PriceComparison!J73/PriceComparison!E9)*100</f>
        <v>69.442441720740206</v>
      </c>
      <c r="C107">
        <f>(PriceComparison!E41/PriceComparison!E9)*100</f>
        <v>42.917105263157893</v>
      </c>
    </row>
    <row r="108" spans="1:3" x14ac:dyDescent="0.25">
      <c r="A108">
        <f t="shared" si="3"/>
        <v>100</v>
      </c>
      <c r="B108">
        <f>(PriceComparison!J74/PriceComparison!E10)*100</f>
        <v>64.657534246575338</v>
      </c>
      <c r="C108">
        <f>(PriceComparison!E42/PriceComparison!E10)*100</f>
        <v>53.199999999999989</v>
      </c>
    </row>
    <row r="109" spans="1:3" x14ac:dyDescent="0.25">
      <c r="A109">
        <f t="shared" si="3"/>
        <v>100</v>
      </c>
      <c r="B109">
        <f>(PriceComparison!J75/PriceComparison!E11)*100</f>
        <v>68.641352239045105</v>
      </c>
      <c r="C109">
        <f>(PriceComparison!E43/PriceComparison!E11)*100</f>
        <v>43.280701754385973</v>
      </c>
    </row>
    <row r="110" spans="1:3" x14ac:dyDescent="0.25">
      <c r="A110">
        <f t="shared" si="3"/>
        <v>100</v>
      </c>
      <c r="B110">
        <f>(PriceComparison!J76/PriceComparison!E12)*100</f>
        <v>68.641352239045105</v>
      </c>
      <c r="C110">
        <f>(PriceComparison!E44/PriceComparison!E12)*100</f>
        <v>46.201754385964911</v>
      </c>
    </row>
    <row r="111" spans="1:3" x14ac:dyDescent="0.25">
      <c r="A111">
        <f t="shared" si="3"/>
        <v>100</v>
      </c>
      <c r="B111">
        <f>(PriceComparison!J77/PriceComparison!E13)*100</f>
        <v>68.641352239045105</v>
      </c>
      <c r="C111">
        <f>(PriceComparison!E45/PriceComparison!E13)*100</f>
        <v>45.947368421052637</v>
      </c>
    </row>
    <row r="112" spans="1:3" x14ac:dyDescent="0.25">
      <c r="A112">
        <f t="shared" si="3"/>
        <v>100</v>
      </c>
      <c r="B112">
        <f>(PriceComparison!J78/PriceComparison!E14)*100</f>
        <v>69.442441720740206</v>
      </c>
      <c r="C112">
        <f>(PriceComparison!E46/PriceComparison!E14)*100</f>
        <v>45.526315789473685</v>
      </c>
    </row>
    <row r="113" spans="1:3" x14ac:dyDescent="0.25">
      <c r="A113">
        <f t="shared" si="3"/>
        <v>100</v>
      </c>
      <c r="B113">
        <f>(PriceComparison!J79/PriceComparison!E15)*100</f>
        <v>69.442441720740206</v>
      </c>
      <c r="C113">
        <f>(PriceComparison!E47/PriceComparison!E15)*100</f>
        <v>43.25</v>
      </c>
    </row>
    <row r="114" spans="1:3" x14ac:dyDescent="0.25">
      <c r="A114">
        <v>0</v>
      </c>
      <c r="B114" t="e">
        <f>(PriceComparison!J80/PriceComparison!E16)*100</f>
        <v>#VALUE!</v>
      </c>
      <c r="C114" t="e">
        <f>(PriceComparison!E48/PriceComparison!E16)*100</f>
        <v>#VALUE!</v>
      </c>
    </row>
    <row r="134" spans="1:3" ht="18.75" x14ac:dyDescent="0.3">
      <c r="A134" s="1" t="s">
        <v>135</v>
      </c>
    </row>
    <row r="137" spans="1:3" x14ac:dyDescent="0.25">
      <c r="A137" s="66" t="s">
        <v>54</v>
      </c>
      <c r="B137" t="s">
        <v>43</v>
      </c>
      <c r="C137" t="s">
        <v>42</v>
      </c>
    </row>
    <row r="138" spans="1:3" x14ac:dyDescent="0.25">
      <c r="A138">
        <f>1*100</f>
        <v>100</v>
      </c>
      <c r="B138">
        <f>(PriceComparison!E101/PriceComparison!F7)*100</f>
        <v>72.283105022831052</v>
      </c>
      <c r="C138" t="e">
        <f>(PriceComparison!F39/PriceComparison!F7)*100</f>
        <v>#VALUE!</v>
      </c>
    </row>
    <row r="139" spans="1:3" x14ac:dyDescent="0.25">
      <c r="A139">
        <f t="shared" ref="A139:A146" si="4">1*100</f>
        <v>100</v>
      </c>
      <c r="B139">
        <f>(PriceComparison!E102/PriceComparison!F8)*100</f>
        <v>72.283105022831052</v>
      </c>
      <c r="C139" t="e">
        <f>(PriceComparison!F40/PriceComparison!F8)*100</f>
        <v>#VALUE!</v>
      </c>
    </row>
    <row r="140" spans="1:3" x14ac:dyDescent="0.25">
      <c r="A140">
        <f t="shared" si="4"/>
        <v>100</v>
      </c>
      <c r="B140">
        <f>(PriceComparison!E103/PriceComparison!F9)*100</f>
        <v>72.268835616438338</v>
      </c>
      <c r="C140" t="e">
        <f>(PriceComparison!F41/PriceComparison!F9)*100</f>
        <v>#VALUE!</v>
      </c>
    </row>
    <row r="141" spans="1:3" x14ac:dyDescent="0.25">
      <c r="A141">
        <f t="shared" si="4"/>
        <v>100</v>
      </c>
      <c r="B141">
        <f>(PriceComparison!E104/PriceComparison!F10)*100</f>
        <v>64.840182648401836</v>
      </c>
      <c r="C141" t="e">
        <f>(PriceComparison!F42/PriceComparison!F10)*100</f>
        <v>#VALUE!</v>
      </c>
    </row>
    <row r="142" spans="1:3" x14ac:dyDescent="0.25">
      <c r="A142">
        <f t="shared" si="4"/>
        <v>100</v>
      </c>
      <c r="B142">
        <f>(PriceComparison!E105/PriceComparison!F11)*100</f>
        <v>71.464992389649922</v>
      </c>
      <c r="C142" t="e">
        <f>(PriceComparison!F43/PriceComparison!F11)*100</f>
        <v>#VALUE!</v>
      </c>
    </row>
    <row r="143" spans="1:3" x14ac:dyDescent="0.25">
      <c r="A143">
        <f t="shared" si="4"/>
        <v>100</v>
      </c>
      <c r="B143">
        <f>(PriceComparison!E106/PriceComparison!F12)*100</f>
        <v>71.474505327245069</v>
      </c>
      <c r="C143" t="e">
        <f>(PriceComparison!F44/PriceComparison!F12)*100</f>
        <v>#VALUE!</v>
      </c>
    </row>
    <row r="144" spans="1:3" x14ac:dyDescent="0.25">
      <c r="A144">
        <f t="shared" si="4"/>
        <v>100</v>
      </c>
      <c r="B144">
        <f>(PriceComparison!E107/PriceComparison!F13)*100</f>
        <v>71.350375422708765</v>
      </c>
      <c r="C144" t="e">
        <f>(PriceComparison!F45/PriceComparison!F13)*100</f>
        <v>#VALUE!</v>
      </c>
    </row>
    <row r="145" spans="1:3" x14ac:dyDescent="0.25">
      <c r="A145">
        <f t="shared" si="4"/>
        <v>100</v>
      </c>
      <c r="B145">
        <f>(PriceComparison!E108/PriceComparison!F14)*100</f>
        <v>72.283105022831052</v>
      </c>
      <c r="C145" t="e">
        <f>(PriceComparison!F46/PriceComparison!F14)*100</f>
        <v>#VALUE!</v>
      </c>
    </row>
    <row r="146" spans="1:3" x14ac:dyDescent="0.25">
      <c r="A146">
        <f t="shared" si="4"/>
        <v>100</v>
      </c>
      <c r="B146">
        <f>(PriceComparison!E109/PriceComparison!F15)*100</f>
        <v>72.268835616438338</v>
      </c>
      <c r="C146" t="e">
        <f>(PriceComparison!F47/PriceComparison!F15)*100</f>
        <v>#VALUE!</v>
      </c>
    </row>
    <row r="147" spans="1:3" x14ac:dyDescent="0.25">
      <c r="A147">
        <v>0</v>
      </c>
      <c r="B147" t="e">
        <f>(PriceComparison!E110/PriceComparison!F16)*100</f>
        <v>#VALUE!</v>
      </c>
      <c r="C147" t="e">
        <f>(PriceComparison!F48/PriceComparison!F16)*100</f>
        <v>#VALUE!</v>
      </c>
    </row>
    <row r="148" spans="1:3" x14ac:dyDescent="0.25">
      <c r="A148">
        <v>0</v>
      </c>
      <c r="B148" t="e">
        <f>(PriceComparison!E111/PriceComparison!F17)*100</f>
        <v>#VALUE!</v>
      </c>
      <c r="C148" t="e">
        <f>(PriceComparison!F49/PriceComparison!F17)*100</f>
        <v>#VALUE!</v>
      </c>
    </row>
  </sheetData>
  <pageMargins left="0.7" right="0.7" top="0.75" bottom="0.75" header="0.3" footer="0.3"/>
  <customProperties>
    <customPr name="DVSECTIONID" r:id="rId1"/>
  </customPropertie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G172"/>
  <sheetViews>
    <sheetView topLeftCell="A135" workbookViewId="0">
      <selection activeCell="K35" sqref="K35"/>
    </sheetView>
  </sheetViews>
  <sheetFormatPr defaultRowHeight="15" x14ac:dyDescent="0.25"/>
  <cols>
    <col min="1" max="1" width="37.85546875" customWidth="1"/>
    <col min="2" max="2" width="14.42578125" bestFit="1" customWidth="1"/>
    <col min="3" max="3" width="13.42578125" bestFit="1" customWidth="1"/>
    <col min="4" max="4" width="12.42578125" bestFit="1" customWidth="1"/>
    <col min="5" max="5" width="13.42578125" bestFit="1" customWidth="1"/>
    <col min="6" max="6" width="12.28515625" bestFit="1" customWidth="1"/>
    <col min="7" max="7" width="11.42578125" bestFit="1" customWidth="1"/>
  </cols>
  <sheetData>
    <row r="2" spans="1:7" ht="18.75" x14ac:dyDescent="0.3">
      <c r="A2" s="1" t="s">
        <v>40</v>
      </c>
      <c r="B2" s="40"/>
    </row>
    <row r="3" spans="1:7" ht="15.75" thickBot="1" x14ac:dyDescent="0.3"/>
    <row r="4" spans="1:7" x14ac:dyDescent="0.25">
      <c r="A4" s="41" t="s">
        <v>41</v>
      </c>
      <c r="B4" s="3" t="s">
        <v>42</v>
      </c>
      <c r="C4" s="33" t="s">
        <v>42</v>
      </c>
      <c r="D4" s="3" t="s">
        <v>43</v>
      </c>
      <c r="E4" s="32" t="s">
        <v>43</v>
      </c>
      <c r="F4" s="32" t="s">
        <v>43</v>
      </c>
      <c r="G4" s="33" t="s">
        <v>43</v>
      </c>
    </row>
    <row r="5" spans="1:7" x14ac:dyDescent="0.25">
      <c r="A5" s="42" t="s">
        <v>6</v>
      </c>
      <c r="B5" s="5" t="s">
        <v>7</v>
      </c>
      <c r="C5" s="16" t="s">
        <v>21</v>
      </c>
      <c r="D5" s="5" t="s">
        <v>7</v>
      </c>
      <c r="E5" s="34" t="s">
        <v>21</v>
      </c>
      <c r="F5" s="34"/>
      <c r="G5" s="16"/>
    </row>
    <row r="6" spans="1:7" ht="15.75" thickBot="1" x14ac:dyDescent="0.3">
      <c r="A6" s="43" t="s">
        <v>8</v>
      </c>
      <c r="B6" s="7" t="s">
        <v>9</v>
      </c>
      <c r="C6" s="17" t="s">
        <v>9</v>
      </c>
      <c r="D6" s="7" t="s">
        <v>9</v>
      </c>
      <c r="E6" s="35" t="s">
        <v>9</v>
      </c>
      <c r="F6" s="35" t="s">
        <v>44</v>
      </c>
      <c r="G6" s="17" t="s">
        <v>45</v>
      </c>
    </row>
    <row r="7" spans="1:7" x14ac:dyDescent="0.25">
      <c r="A7" s="8" t="s">
        <v>10</v>
      </c>
      <c r="B7" s="10">
        <v>3.1449625000000002E-2</v>
      </c>
      <c r="C7" s="18">
        <v>5.7683673469387402E-2</v>
      </c>
      <c r="D7" s="23">
        <v>0.03</v>
      </c>
      <c r="E7" s="28">
        <v>0.05</v>
      </c>
      <c r="F7" s="28">
        <v>227.5</v>
      </c>
      <c r="G7" s="44">
        <v>350</v>
      </c>
    </row>
    <row r="8" spans="1:7" x14ac:dyDescent="0.25">
      <c r="A8" s="11" t="s">
        <v>11</v>
      </c>
      <c r="B8" s="13">
        <v>0.21571428600000001</v>
      </c>
      <c r="C8" s="20">
        <v>0.201055102040816</v>
      </c>
      <c r="D8" s="25">
        <v>0.12</v>
      </c>
      <c r="E8" s="30">
        <v>0.2</v>
      </c>
      <c r="F8" s="45">
        <v>910</v>
      </c>
      <c r="G8" s="46">
        <v>1400</v>
      </c>
    </row>
    <row r="9" spans="1:7" x14ac:dyDescent="0.25">
      <c r="A9" s="11" t="s">
        <v>12</v>
      </c>
      <c r="B9" s="13">
        <v>0.241263485</v>
      </c>
      <c r="C9" s="20">
        <v>0.40066884422110299</v>
      </c>
      <c r="D9" s="25">
        <v>0.24</v>
      </c>
      <c r="E9" s="30">
        <v>0.4</v>
      </c>
      <c r="F9" s="30">
        <v>1820</v>
      </c>
      <c r="G9" s="38">
        <v>2800</v>
      </c>
    </row>
    <row r="10" spans="1:7" x14ac:dyDescent="0.25">
      <c r="A10" s="11" t="s">
        <v>13</v>
      </c>
      <c r="B10" s="13" t="s">
        <v>20</v>
      </c>
      <c r="C10" s="20" t="s">
        <v>20</v>
      </c>
      <c r="D10" s="25">
        <v>7.0000000000000001E-3</v>
      </c>
      <c r="E10" s="30">
        <v>1.2999999999999999E-2</v>
      </c>
      <c r="F10" s="30">
        <v>54</v>
      </c>
      <c r="G10" s="38">
        <v>82</v>
      </c>
    </row>
    <row r="11" spans="1:7" x14ac:dyDescent="0.25">
      <c r="A11" s="11" t="s">
        <v>14</v>
      </c>
      <c r="B11" s="13">
        <v>0.18146274800000001</v>
      </c>
      <c r="C11" s="20">
        <v>0.240362626262627</v>
      </c>
      <c r="D11" s="25">
        <v>0.17</v>
      </c>
      <c r="E11" s="30">
        <v>0.24</v>
      </c>
      <c r="F11" s="30">
        <v>1325</v>
      </c>
      <c r="G11" s="38">
        <v>2000</v>
      </c>
    </row>
    <row r="12" spans="1:7" x14ac:dyDescent="0.25">
      <c r="A12" s="11" t="s">
        <v>15</v>
      </c>
      <c r="B12" s="13">
        <v>0.42040280099999999</v>
      </c>
      <c r="C12" s="20">
        <v>0.55386888111888</v>
      </c>
      <c r="D12" s="25">
        <v>0.34</v>
      </c>
      <c r="E12" s="30">
        <v>0.48</v>
      </c>
      <c r="F12" s="30">
        <v>2650</v>
      </c>
      <c r="G12" s="38">
        <v>4000</v>
      </c>
    </row>
    <row r="13" spans="1:7" x14ac:dyDescent="0.25">
      <c r="A13" s="11" t="s">
        <v>16</v>
      </c>
      <c r="B13" s="13">
        <v>0.84822618100000002</v>
      </c>
      <c r="C13" s="20">
        <v>1.10141885080645</v>
      </c>
      <c r="D13" s="25">
        <v>0.68</v>
      </c>
      <c r="E13" s="30">
        <v>0.96</v>
      </c>
      <c r="F13" s="30">
        <v>5300</v>
      </c>
      <c r="G13" s="38">
        <v>8000</v>
      </c>
    </row>
    <row r="14" spans="1:7" x14ac:dyDescent="0.25">
      <c r="A14" s="11" t="s">
        <v>17</v>
      </c>
      <c r="B14" s="13">
        <v>6.0638772000000001E-2</v>
      </c>
      <c r="C14" s="20">
        <v>0.13254993429697701</v>
      </c>
      <c r="D14" s="25">
        <v>0.06</v>
      </c>
      <c r="E14" s="30">
        <v>0.125</v>
      </c>
      <c r="F14" s="30">
        <v>455</v>
      </c>
      <c r="G14" s="38">
        <v>700</v>
      </c>
    </row>
    <row r="15" spans="1:7" x14ac:dyDescent="0.25">
      <c r="A15" s="11" t="s">
        <v>18</v>
      </c>
      <c r="B15" s="13">
        <v>0.28752557400000001</v>
      </c>
      <c r="C15" s="20">
        <v>0.50588358974358905</v>
      </c>
      <c r="D15" s="25">
        <v>0.24</v>
      </c>
      <c r="E15" s="30">
        <v>0.5</v>
      </c>
      <c r="F15" s="30">
        <v>1820</v>
      </c>
      <c r="G15" s="38">
        <v>2800</v>
      </c>
    </row>
    <row r="16" spans="1:7" ht="15.75" thickBot="1" x14ac:dyDescent="0.3">
      <c r="A16" s="14" t="s">
        <v>19</v>
      </c>
      <c r="B16" s="15" t="s">
        <v>20</v>
      </c>
      <c r="C16" s="21" t="s">
        <v>20</v>
      </c>
      <c r="D16" s="26">
        <v>0.56000000000000005</v>
      </c>
      <c r="E16" s="31" t="s">
        <v>20</v>
      </c>
      <c r="F16" s="37">
        <v>4290</v>
      </c>
      <c r="G16" s="39">
        <v>6590</v>
      </c>
    </row>
    <row r="17" spans="1:7" ht="15.75" thickBot="1" x14ac:dyDescent="0.3"/>
    <row r="18" spans="1:7" x14ac:dyDescent="0.25">
      <c r="A18" s="2" t="s">
        <v>46</v>
      </c>
      <c r="B18" s="3" t="s">
        <v>47</v>
      </c>
      <c r="C18" s="32" t="s">
        <v>47</v>
      </c>
      <c r="D18" s="33" t="s">
        <v>47</v>
      </c>
      <c r="E18" s="47" t="s">
        <v>47</v>
      </c>
      <c r="F18" s="32" t="s">
        <v>47</v>
      </c>
      <c r="G18" s="33" t="s">
        <v>47</v>
      </c>
    </row>
    <row r="19" spans="1:7" x14ac:dyDescent="0.25">
      <c r="A19" s="4" t="s">
        <v>6</v>
      </c>
      <c r="B19" s="5" t="s">
        <v>7</v>
      </c>
      <c r="C19" s="34" t="s">
        <v>7</v>
      </c>
      <c r="D19" s="16" t="s">
        <v>7</v>
      </c>
      <c r="E19" s="48" t="s">
        <v>21</v>
      </c>
      <c r="F19" s="34" t="s">
        <v>21</v>
      </c>
      <c r="G19" s="16" t="s">
        <v>21</v>
      </c>
    </row>
    <row r="20" spans="1:7" ht="15.75" thickBot="1" x14ac:dyDescent="0.3">
      <c r="A20" s="6" t="s">
        <v>48</v>
      </c>
      <c r="B20" s="7" t="s">
        <v>49</v>
      </c>
      <c r="C20" s="35" t="s">
        <v>50</v>
      </c>
      <c r="D20" s="17" t="s">
        <v>51</v>
      </c>
      <c r="E20" s="49" t="s">
        <v>49</v>
      </c>
      <c r="F20" s="35" t="s">
        <v>50</v>
      </c>
      <c r="G20" s="17" t="s">
        <v>51</v>
      </c>
    </row>
    <row r="21" spans="1:7" x14ac:dyDescent="0.25">
      <c r="A21" s="50" t="s">
        <v>10</v>
      </c>
      <c r="B21" s="10">
        <f t="shared" ref="B21:B29" si="0">F7/(B7-D7)</f>
        <v>156937.13891523637</v>
      </c>
      <c r="C21" s="51">
        <f>B21/24</f>
        <v>6539.0474548015154</v>
      </c>
      <c r="D21" s="18">
        <f>(C21/365)*100</f>
        <v>1791.5198506305521</v>
      </c>
      <c r="E21" s="52">
        <f t="shared" ref="E21:E27" si="1">F7/(C7-E7)</f>
        <v>29608.233731741078</v>
      </c>
      <c r="F21" s="28">
        <f>E21/24</f>
        <v>1233.6764054892117</v>
      </c>
      <c r="G21" s="44">
        <f>(F21/365)*100</f>
        <v>337.99353575046894</v>
      </c>
    </row>
    <row r="22" spans="1:7" x14ac:dyDescent="0.25">
      <c r="A22" s="53" t="s">
        <v>11</v>
      </c>
      <c r="B22" s="13">
        <f t="shared" si="0"/>
        <v>9507.4626581866778</v>
      </c>
      <c r="C22" s="51">
        <f t="shared" ref="C22:C29" si="2">B22/24</f>
        <v>396.14427742444491</v>
      </c>
      <c r="D22" s="18">
        <f t="shared" ref="D22:D29" si="3">(C22/365)*100</f>
        <v>108.53267874642327</v>
      </c>
      <c r="E22" s="54">
        <f t="shared" si="1"/>
        <v>862475.82205056387</v>
      </c>
      <c r="F22" s="28">
        <f t="shared" ref="F22:F29" si="4">E22/24</f>
        <v>35936.492585440159</v>
      </c>
      <c r="G22" s="44">
        <f t="shared" ref="G22:G29" si="5">(F22/365)*100</f>
        <v>9845.6144069699058</v>
      </c>
    </row>
    <row r="23" spans="1:7" x14ac:dyDescent="0.25">
      <c r="A23" s="53" t="s">
        <v>12</v>
      </c>
      <c r="B23" s="13">
        <f t="shared" si="0"/>
        <v>1440460.3141311433</v>
      </c>
      <c r="C23" s="51">
        <f t="shared" si="2"/>
        <v>60019.179755464305</v>
      </c>
      <c r="D23" s="18">
        <f t="shared" si="3"/>
        <v>16443.610891908029</v>
      </c>
      <c r="E23" s="54">
        <f t="shared" si="1"/>
        <v>2721111.9459157353</v>
      </c>
      <c r="F23" s="28">
        <f t="shared" si="4"/>
        <v>113379.66441315564</v>
      </c>
      <c r="G23" s="44">
        <f t="shared" si="5"/>
        <v>31062.921757028944</v>
      </c>
    </row>
    <row r="24" spans="1:7" x14ac:dyDescent="0.25">
      <c r="A24" s="53" t="s">
        <v>13</v>
      </c>
      <c r="B24" s="13" t="s">
        <v>20</v>
      </c>
      <c r="C24" s="51" t="s">
        <v>20</v>
      </c>
      <c r="D24" s="18" t="s">
        <v>20</v>
      </c>
      <c r="E24" s="55" t="s">
        <v>20</v>
      </c>
      <c r="F24" s="51" t="s">
        <v>20</v>
      </c>
      <c r="G24" s="18" t="s">
        <v>20</v>
      </c>
    </row>
    <row r="25" spans="1:7" x14ac:dyDescent="0.25">
      <c r="A25" s="53" t="s">
        <v>14</v>
      </c>
      <c r="B25" s="13">
        <f t="shared" si="0"/>
        <v>115591.8284167113</v>
      </c>
      <c r="C25" s="51">
        <f t="shared" si="2"/>
        <v>4816.3261840296373</v>
      </c>
      <c r="D25" s="18">
        <f t="shared" si="3"/>
        <v>1319.5414202820923</v>
      </c>
      <c r="E25" s="54">
        <f t="shared" si="1"/>
        <v>3653899.7214409551</v>
      </c>
      <c r="F25" s="28">
        <f t="shared" si="4"/>
        <v>152245.82172670646</v>
      </c>
      <c r="G25" s="44">
        <f t="shared" si="5"/>
        <v>41711.184034714097</v>
      </c>
    </row>
    <row r="26" spans="1:7" x14ac:dyDescent="0.25">
      <c r="A26" s="53" t="s">
        <v>15</v>
      </c>
      <c r="B26" s="13">
        <f t="shared" si="0"/>
        <v>32959.050767398032</v>
      </c>
      <c r="C26" s="51">
        <f t="shared" si="2"/>
        <v>1373.2937819749179</v>
      </c>
      <c r="D26" s="18">
        <f t="shared" si="3"/>
        <v>376.24487177395014</v>
      </c>
      <c r="E26" s="54">
        <f t="shared" si="1"/>
        <v>35874.375783968542</v>
      </c>
      <c r="F26" s="28">
        <f t="shared" si="4"/>
        <v>1494.765657665356</v>
      </c>
      <c r="G26" s="44">
        <f t="shared" si="5"/>
        <v>409.5248377165359</v>
      </c>
    </row>
    <row r="27" spans="1:7" x14ac:dyDescent="0.25">
      <c r="A27" s="53" t="s">
        <v>16</v>
      </c>
      <c r="B27" s="13">
        <f t="shared" si="0"/>
        <v>31505.203105098135</v>
      </c>
      <c r="C27" s="51">
        <f t="shared" si="2"/>
        <v>1312.7167960457557</v>
      </c>
      <c r="D27" s="18">
        <f t="shared" si="3"/>
        <v>359.64843727280982</v>
      </c>
      <c r="E27" s="54">
        <f t="shared" si="1"/>
        <v>37477.323353827393</v>
      </c>
      <c r="F27" s="28">
        <f t="shared" si="4"/>
        <v>1561.555139742808</v>
      </c>
      <c r="G27" s="44">
        <f t="shared" si="5"/>
        <v>427.82332595693367</v>
      </c>
    </row>
    <row r="28" spans="1:7" x14ac:dyDescent="0.25">
      <c r="A28" s="53" t="s">
        <v>17</v>
      </c>
      <c r="B28" s="13">
        <f t="shared" si="0"/>
        <v>712304.23374850187</v>
      </c>
      <c r="C28" s="51">
        <f t="shared" si="2"/>
        <v>29679.343072854244</v>
      </c>
      <c r="D28" s="18">
        <f t="shared" si="3"/>
        <v>8131.3268692751353</v>
      </c>
      <c r="E28" s="54">
        <f>F14/(C14-E14)</f>
        <v>60265.425115312857</v>
      </c>
      <c r="F28" s="28">
        <f t="shared" si="4"/>
        <v>2511.0593798047025</v>
      </c>
      <c r="G28" s="44">
        <f t="shared" si="5"/>
        <v>687.96147391909653</v>
      </c>
    </row>
    <row r="29" spans="1:7" x14ac:dyDescent="0.25">
      <c r="A29" s="53" t="s">
        <v>18</v>
      </c>
      <c r="B29" s="13">
        <f t="shared" si="0"/>
        <v>38295.171353427511</v>
      </c>
      <c r="C29" s="51">
        <f t="shared" si="2"/>
        <v>1595.6321397261463</v>
      </c>
      <c r="D29" s="18">
        <f t="shared" si="3"/>
        <v>437.15949033593046</v>
      </c>
      <c r="E29" s="54">
        <f>F15/(C15-E15)</f>
        <v>309334.96034170844</v>
      </c>
      <c r="F29" s="28">
        <f t="shared" si="4"/>
        <v>12888.956680904519</v>
      </c>
      <c r="G29" s="44">
        <f t="shared" si="5"/>
        <v>3531.2210084669914</v>
      </c>
    </row>
    <row r="30" spans="1:7" ht="15.75" thickBot="1" x14ac:dyDescent="0.3">
      <c r="A30" s="56" t="s">
        <v>19</v>
      </c>
      <c r="B30" s="15" t="s">
        <v>20</v>
      </c>
      <c r="C30" s="57" t="s">
        <v>20</v>
      </c>
      <c r="D30" s="58" t="s">
        <v>20</v>
      </c>
      <c r="E30" s="59" t="s">
        <v>20</v>
      </c>
      <c r="F30" s="31" t="s">
        <v>20</v>
      </c>
      <c r="G30" s="21" t="s">
        <v>20</v>
      </c>
    </row>
    <row r="31" spans="1:7" x14ac:dyDescent="0.25">
      <c r="A31" s="2" t="s">
        <v>46</v>
      </c>
      <c r="B31" s="3" t="s">
        <v>52</v>
      </c>
      <c r="C31" s="3" t="s">
        <v>52</v>
      </c>
      <c r="D31" s="8" t="s">
        <v>52</v>
      </c>
      <c r="E31" s="47" t="s">
        <v>52</v>
      </c>
      <c r="F31" s="3" t="s">
        <v>52</v>
      </c>
      <c r="G31" s="3" t="s">
        <v>52</v>
      </c>
    </row>
    <row r="32" spans="1:7" x14ac:dyDescent="0.25">
      <c r="A32" s="4" t="s">
        <v>6</v>
      </c>
      <c r="B32" s="5" t="s">
        <v>7</v>
      </c>
      <c r="C32" s="34" t="s">
        <v>7</v>
      </c>
      <c r="D32" s="16" t="s">
        <v>7</v>
      </c>
      <c r="E32" s="48" t="s">
        <v>21</v>
      </c>
      <c r="F32" s="34" t="s">
        <v>21</v>
      </c>
      <c r="G32" s="16" t="s">
        <v>21</v>
      </c>
    </row>
    <row r="33" spans="1:7" ht="15.75" thickBot="1" x14ac:dyDescent="0.3">
      <c r="A33" s="6" t="s">
        <v>48</v>
      </c>
      <c r="B33" s="7" t="s">
        <v>49</v>
      </c>
      <c r="C33" s="35" t="s">
        <v>50</v>
      </c>
      <c r="D33" s="17" t="s">
        <v>51</v>
      </c>
      <c r="E33" s="49" t="s">
        <v>49</v>
      </c>
      <c r="F33" s="35" t="s">
        <v>50</v>
      </c>
      <c r="G33" s="17" t="s">
        <v>51</v>
      </c>
    </row>
    <row r="34" spans="1:7" x14ac:dyDescent="0.25">
      <c r="A34" s="50" t="s">
        <v>10</v>
      </c>
      <c r="B34" s="10">
        <f t="shared" ref="B34:B42" si="6">G7/(B7-D7)</f>
        <v>241441.75217728672</v>
      </c>
      <c r="C34" s="51">
        <f>B34/24</f>
        <v>10060.073007386947</v>
      </c>
      <c r="D34" s="18">
        <f>(C34/1095)*100</f>
        <v>918.72812852848824</v>
      </c>
      <c r="E34" s="52">
        <f t="shared" ref="E34:E40" si="7">G7/(C7-E7)</f>
        <v>45551.128818063204</v>
      </c>
      <c r="F34" s="28">
        <f>E34/24</f>
        <v>1897.9637007526335</v>
      </c>
      <c r="G34" s="44">
        <f>(F34/1095)*100</f>
        <v>173.33001833357383</v>
      </c>
    </row>
    <row r="35" spans="1:7" x14ac:dyDescent="0.25">
      <c r="A35" s="53" t="s">
        <v>11</v>
      </c>
      <c r="B35" s="10">
        <f t="shared" si="6"/>
        <v>14626.865627979505</v>
      </c>
      <c r="C35" s="51">
        <f t="shared" ref="C35:C42" si="8">B35/24</f>
        <v>609.452734499146</v>
      </c>
      <c r="D35" s="18">
        <f t="shared" ref="D35:D42" si="9">(C35/1095)*100</f>
        <v>55.657783972524754</v>
      </c>
      <c r="E35" s="52">
        <f t="shared" si="7"/>
        <v>1326885.8800777905</v>
      </c>
      <c r="F35" s="28">
        <f t="shared" ref="F35:F42" si="10">E35/24</f>
        <v>55286.911669907939</v>
      </c>
      <c r="G35" s="44">
        <f t="shared" ref="G35:G42" si="11">(F35/1095)*100</f>
        <v>5049.0330292153367</v>
      </c>
    </row>
    <row r="36" spans="1:7" x14ac:dyDescent="0.25">
      <c r="A36" s="53" t="s">
        <v>12</v>
      </c>
      <c r="B36" s="10">
        <f t="shared" si="6"/>
        <v>2216092.7909709895</v>
      </c>
      <c r="C36" s="51">
        <f t="shared" si="8"/>
        <v>92337.199623791224</v>
      </c>
      <c r="D36" s="18">
        <f t="shared" si="9"/>
        <v>8432.6209702092438</v>
      </c>
      <c r="E36" s="52">
        <f t="shared" si="7"/>
        <v>4186326.0706395931</v>
      </c>
      <c r="F36" s="28">
        <f t="shared" si="10"/>
        <v>174430.25294331639</v>
      </c>
      <c r="G36" s="44">
        <f t="shared" si="11"/>
        <v>15929.703465143049</v>
      </c>
    </row>
    <row r="37" spans="1:7" x14ac:dyDescent="0.25">
      <c r="A37" s="53" t="s">
        <v>13</v>
      </c>
      <c r="B37" s="10" t="s">
        <v>20</v>
      </c>
      <c r="C37" s="51" t="s">
        <v>20</v>
      </c>
      <c r="D37" s="18" t="s">
        <v>20</v>
      </c>
      <c r="E37" s="60" t="s">
        <v>20</v>
      </c>
      <c r="F37" s="51" t="s">
        <v>20</v>
      </c>
      <c r="G37" s="18" t="s">
        <v>20</v>
      </c>
    </row>
    <row r="38" spans="1:7" x14ac:dyDescent="0.25">
      <c r="A38" s="53" t="s">
        <v>14</v>
      </c>
      <c r="B38" s="10">
        <f t="shared" si="6"/>
        <v>174478.2315723944</v>
      </c>
      <c r="C38" s="51">
        <f t="shared" si="8"/>
        <v>7269.9263155164335</v>
      </c>
      <c r="D38" s="18">
        <f t="shared" si="9"/>
        <v>663.92021146268792</v>
      </c>
      <c r="E38" s="52">
        <f t="shared" si="7"/>
        <v>5515320.3342504976</v>
      </c>
      <c r="F38" s="28">
        <f t="shared" si="10"/>
        <v>229805.01392710407</v>
      </c>
      <c r="G38" s="44">
        <f t="shared" si="11"/>
        <v>20986.759262749227</v>
      </c>
    </row>
    <row r="39" spans="1:7" x14ac:dyDescent="0.25">
      <c r="A39" s="53" t="s">
        <v>15</v>
      </c>
      <c r="B39" s="10">
        <f t="shared" si="6"/>
        <v>49749.51059229891</v>
      </c>
      <c r="C39" s="51">
        <f t="shared" si="8"/>
        <v>2072.8962746791212</v>
      </c>
      <c r="D39" s="18">
        <f t="shared" si="9"/>
        <v>189.30559586110695</v>
      </c>
      <c r="E39" s="52">
        <f t="shared" si="7"/>
        <v>54150.001183348737</v>
      </c>
      <c r="F39" s="28">
        <f t="shared" si="10"/>
        <v>2256.2500493061975</v>
      </c>
      <c r="G39" s="44">
        <f t="shared" si="11"/>
        <v>206.05023281335139</v>
      </c>
    </row>
    <row r="40" spans="1:7" x14ac:dyDescent="0.25">
      <c r="A40" s="53" t="s">
        <v>16</v>
      </c>
      <c r="B40" s="10">
        <f t="shared" si="6"/>
        <v>47555.023554865111</v>
      </c>
      <c r="C40" s="51">
        <f t="shared" si="8"/>
        <v>1981.4593147860462</v>
      </c>
      <c r="D40" s="18">
        <f t="shared" si="9"/>
        <v>180.95518856493572</v>
      </c>
      <c r="E40" s="52">
        <f t="shared" si="7"/>
        <v>56569.544685022476</v>
      </c>
      <c r="F40" s="28">
        <f t="shared" si="10"/>
        <v>2357.0643618759364</v>
      </c>
      <c r="G40" s="44">
        <f t="shared" si="11"/>
        <v>215.25701934940059</v>
      </c>
    </row>
    <row r="41" spans="1:7" x14ac:dyDescent="0.25">
      <c r="A41" s="53" t="s">
        <v>17</v>
      </c>
      <c r="B41" s="10">
        <f t="shared" si="6"/>
        <v>1095852.6673053876</v>
      </c>
      <c r="C41" s="51">
        <f t="shared" si="8"/>
        <v>45660.527804391146</v>
      </c>
      <c r="D41" s="18">
        <f t="shared" si="9"/>
        <v>4169.9112150128894</v>
      </c>
      <c r="E41" s="52">
        <f>G14/(C14-E14)</f>
        <v>92716.03863894286</v>
      </c>
      <c r="F41" s="28">
        <f t="shared" si="10"/>
        <v>3863.168276622619</v>
      </c>
      <c r="G41" s="44">
        <f t="shared" si="11"/>
        <v>352.80075585594693</v>
      </c>
    </row>
    <row r="42" spans="1:7" x14ac:dyDescent="0.25">
      <c r="A42" s="53" t="s">
        <v>18</v>
      </c>
      <c r="B42" s="10">
        <f t="shared" si="6"/>
        <v>58915.648236042325</v>
      </c>
      <c r="C42" s="51">
        <f t="shared" si="8"/>
        <v>2454.8186765017635</v>
      </c>
      <c r="D42" s="18">
        <f t="shared" si="9"/>
        <v>224.18435401842589</v>
      </c>
      <c r="E42" s="52">
        <f>G15/(C15-E15)</f>
        <v>475899.93898724375</v>
      </c>
      <c r="F42" s="28">
        <f t="shared" si="10"/>
        <v>19829.164124468491</v>
      </c>
      <c r="G42" s="44">
        <f t="shared" si="11"/>
        <v>1810.882568444611</v>
      </c>
    </row>
    <row r="43" spans="1:7" ht="15.75" thickBot="1" x14ac:dyDescent="0.3">
      <c r="A43" s="56" t="s">
        <v>19</v>
      </c>
      <c r="B43" s="61" t="s">
        <v>20</v>
      </c>
      <c r="C43" s="57" t="s">
        <v>20</v>
      </c>
      <c r="D43" s="58" t="s">
        <v>20</v>
      </c>
      <c r="E43" s="59" t="s">
        <v>20</v>
      </c>
      <c r="F43" s="31" t="s">
        <v>20</v>
      </c>
      <c r="G43" s="21" t="s">
        <v>20</v>
      </c>
    </row>
    <row r="45" spans="1:7" ht="18.75" x14ac:dyDescent="0.3">
      <c r="A45" s="1" t="s">
        <v>53</v>
      </c>
      <c r="B45" s="40"/>
    </row>
    <row r="46" spans="1:7" ht="15.75" thickBot="1" x14ac:dyDescent="0.3"/>
    <row r="47" spans="1:7" x14ac:dyDescent="0.25">
      <c r="A47" s="41" t="s">
        <v>41</v>
      </c>
      <c r="B47" s="3" t="s">
        <v>54</v>
      </c>
      <c r="C47" s="33" t="s">
        <v>54</v>
      </c>
      <c r="D47" s="3" t="s">
        <v>43</v>
      </c>
      <c r="E47" s="32" t="s">
        <v>43</v>
      </c>
      <c r="F47" s="32" t="s">
        <v>43</v>
      </c>
      <c r="G47" s="33" t="s">
        <v>43</v>
      </c>
    </row>
    <row r="48" spans="1:7" x14ac:dyDescent="0.25">
      <c r="A48" s="42" t="s">
        <v>6</v>
      </c>
      <c r="B48" s="5" t="s">
        <v>7</v>
      </c>
      <c r="C48" s="16" t="s">
        <v>21</v>
      </c>
      <c r="D48" s="5" t="s">
        <v>7</v>
      </c>
      <c r="E48" s="34" t="s">
        <v>21</v>
      </c>
      <c r="F48" s="34"/>
      <c r="G48" s="16"/>
    </row>
    <row r="49" spans="1:7" ht="15.75" thickBot="1" x14ac:dyDescent="0.3">
      <c r="A49" s="43" t="s">
        <v>8</v>
      </c>
      <c r="B49" s="7" t="s">
        <v>9</v>
      </c>
      <c r="C49" s="17" t="s">
        <v>9</v>
      </c>
      <c r="D49" s="7" t="s">
        <v>9</v>
      </c>
      <c r="E49" s="35" t="s">
        <v>9</v>
      </c>
      <c r="F49" s="35" t="s">
        <v>44</v>
      </c>
      <c r="G49" s="17" t="s">
        <v>45</v>
      </c>
    </row>
    <row r="50" spans="1:7" x14ac:dyDescent="0.25">
      <c r="A50" s="8" t="s">
        <v>10</v>
      </c>
      <c r="B50" s="10">
        <v>4.0024947999999998E-2</v>
      </c>
      <c r="C50" s="18">
        <v>6.7007653061224595E-2</v>
      </c>
      <c r="D50" s="23">
        <v>0.04</v>
      </c>
      <c r="E50" s="28">
        <v>0.06</v>
      </c>
      <c r="F50" s="28">
        <v>227.5</v>
      </c>
      <c r="G50" s="44">
        <v>350</v>
      </c>
    </row>
    <row r="51" spans="1:7" x14ac:dyDescent="0.25">
      <c r="A51" s="11" t="s">
        <v>11</v>
      </c>
      <c r="B51" s="13">
        <v>0.16023632800000001</v>
      </c>
      <c r="C51" s="20">
        <v>0.266202970297029</v>
      </c>
      <c r="D51" s="25">
        <v>0.16</v>
      </c>
      <c r="E51" s="30">
        <v>0.24</v>
      </c>
      <c r="F51" s="45">
        <v>910</v>
      </c>
      <c r="G51" s="46">
        <v>1400</v>
      </c>
    </row>
    <row r="52" spans="1:7" x14ac:dyDescent="0.25">
      <c r="A52" s="11" t="s">
        <v>12</v>
      </c>
      <c r="B52" s="13">
        <v>0.31977188099999998</v>
      </c>
      <c r="C52" s="20">
        <v>0.53164559819413104</v>
      </c>
      <c r="D52" s="25">
        <v>0.32</v>
      </c>
      <c r="E52" s="30">
        <v>0.48</v>
      </c>
      <c r="F52" s="30">
        <v>1820</v>
      </c>
      <c r="G52" s="38">
        <v>2800</v>
      </c>
    </row>
    <row r="53" spans="1:7" x14ac:dyDescent="0.25">
      <c r="A53" s="11" t="s">
        <v>13</v>
      </c>
      <c r="B53" s="13" t="s">
        <v>20</v>
      </c>
      <c r="C53" s="20" t="s">
        <v>20</v>
      </c>
      <c r="D53" s="25">
        <v>0.01</v>
      </c>
      <c r="E53" s="30">
        <v>1.6E-2</v>
      </c>
      <c r="F53" s="30">
        <v>54</v>
      </c>
      <c r="G53" s="38">
        <v>82</v>
      </c>
    </row>
    <row r="54" spans="1:7" x14ac:dyDescent="0.25">
      <c r="A54" s="11" t="s">
        <v>14</v>
      </c>
      <c r="B54" s="13">
        <v>0.23966032600000001</v>
      </c>
      <c r="C54" s="20">
        <v>0.31932735426009001</v>
      </c>
      <c r="D54" s="25">
        <v>0.24</v>
      </c>
      <c r="E54" s="30">
        <v>0.32</v>
      </c>
      <c r="F54" s="30">
        <v>1325</v>
      </c>
      <c r="G54" s="38">
        <v>2000</v>
      </c>
    </row>
    <row r="55" spans="1:7" x14ac:dyDescent="0.25">
      <c r="A55" s="11" t="s">
        <v>15</v>
      </c>
      <c r="B55" s="13">
        <v>0.55866783799999997</v>
      </c>
      <c r="C55" s="20">
        <v>0.73169672131147601</v>
      </c>
      <c r="D55" s="25">
        <v>0.48</v>
      </c>
      <c r="E55" s="30">
        <v>0.64</v>
      </c>
      <c r="F55" s="30">
        <v>2650</v>
      </c>
      <c r="G55" s="38">
        <v>4000</v>
      </c>
    </row>
    <row r="56" spans="1:7" x14ac:dyDescent="0.25">
      <c r="A56" s="11" t="s">
        <v>16</v>
      </c>
      <c r="B56" s="13">
        <v>1.11857326</v>
      </c>
      <c r="C56" s="20">
        <v>1.46538766519823</v>
      </c>
      <c r="D56" s="25">
        <v>0.96</v>
      </c>
      <c r="E56" s="30">
        <v>1.28</v>
      </c>
      <c r="F56" s="30">
        <v>5300</v>
      </c>
      <c r="G56" s="38">
        <v>8000</v>
      </c>
    </row>
    <row r="57" spans="1:7" x14ac:dyDescent="0.25">
      <c r="A57" s="11" t="s">
        <v>17</v>
      </c>
      <c r="B57" s="13">
        <v>7.9861055E-2</v>
      </c>
      <c r="C57" s="20">
        <v>0.16660688836104501</v>
      </c>
      <c r="D57" s="25">
        <v>0.08</v>
      </c>
      <c r="E57" s="30">
        <v>0.14499999999999999</v>
      </c>
      <c r="F57" s="30">
        <v>455</v>
      </c>
      <c r="G57" s="38">
        <v>700</v>
      </c>
    </row>
    <row r="58" spans="1:7" x14ac:dyDescent="0.25">
      <c r="A58" s="11" t="s">
        <v>18</v>
      </c>
      <c r="B58" s="13">
        <v>0.31923295499999998</v>
      </c>
      <c r="C58" s="20">
        <v>0.66648135198135094</v>
      </c>
      <c r="D58" s="25">
        <v>0.32</v>
      </c>
      <c r="E58" s="30">
        <v>0.57999999999999996</v>
      </c>
      <c r="F58" s="30">
        <v>1820</v>
      </c>
      <c r="G58" s="38">
        <v>2800</v>
      </c>
    </row>
    <row r="59" spans="1:7" ht="15.75" thickBot="1" x14ac:dyDescent="0.3">
      <c r="A59" s="14" t="s">
        <v>19</v>
      </c>
      <c r="B59" s="15" t="s">
        <v>20</v>
      </c>
      <c r="C59" s="21" t="s">
        <v>20</v>
      </c>
      <c r="D59" s="15" t="s">
        <v>20</v>
      </c>
      <c r="E59" s="31" t="s">
        <v>20</v>
      </c>
      <c r="F59" s="31" t="s">
        <v>20</v>
      </c>
      <c r="G59" s="21" t="s">
        <v>20</v>
      </c>
    </row>
    <row r="60" spans="1:7" ht="15.75" thickBot="1" x14ac:dyDescent="0.3"/>
    <row r="61" spans="1:7" x14ac:dyDescent="0.25">
      <c r="A61" s="2" t="s">
        <v>46</v>
      </c>
      <c r="B61" s="3" t="s">
        <v>47</v>
      </c>
      <c r="C61" s="32" t="s">
        <v>47</v>
      </c>
      <c r="D61" s="33" t="s">
        <v>47</v>
      </c>
      <c r="E61" s="47" t="s">
        <v>47</v>
      </c>
      <c r="F61" s="32" t="s">
        <v>47</v>
      </c>
      <c r="G61" s="33" t="s">
        <v>47</v>
      </c>
    </row>
    <row r="62" spans="1:7" x14ac:dyDescent="0.25">
      <c r="A62" s="4" t="s">
        <v>6</v>
      </c>
      <c r="B62" s="5" t="s">
        <v>7</v>
      </c>
      <c r="C62" s="34" t="s">
        <v>7</v>
      </c>
      <c r="D62" s="16" t="s">
        <v>7</v>
      </c>
      <c r="E62" s="48" t="s">
        <v>21</v>
      </c>
      <c r="F62" s="34" t="s">
        <v>21</v>
      </c>
      <c r="G62" s="16" t="s">
        <v>21</v>
      </c>
    </row>
    <row r="63" spans="1:7" ht="15.75" thickBot="1" x14ac:dyDescent="0.3">
      <c r="A63" s="6" t="s">
        <v>48</v>
      </c>
      <c r="B63" s="7" t="s">
        <v>49</v>
      </c>
      <c r="C63" s="35" t="s">
        <v>50</v>
      </c>
      <c r="D63" s="17" t="s">
        <v>51</v>
      </c>
      <c r="E63" s="49" t="s">
        <v>49</v>
      </c>
      <c r="F63" s="35" t="s">
        <v>50</v>
      </c>
      <c r="G63" s="17" t="s">
        <v>51</v>
      </c>
    </row>
    <row r="64" spans="1:7" x14ac:dyDescent="0.25">
      <c r="A64" s="50" t="s">
        <v>10</v>
      </c>
      <c r="B64" s="10">
        <f t="shared" ref="B64:B72" si="12">F50/(B50-D50)</f>
        <v>9118967.4523019325</v>
      </c>
      <c r="C64" s="51">
        <f>B64/24</f>
        <v>379956.97717924719</v>
      </c>
      <c r="D64" s="18">
        <f>(C64/365)*100</f>
        <v>104097.80196691705</v>
      </c>
      <c r="E64" s="52">
        <f t="shared" ref="E64:E72" si="13">F50/(C50-E50)</f>
        <v>32464.506734619088</v>
      </c>
      <c r="F64" s="28">
        <f>E64/24</f>
        <v>1352.6877806091286</v>
      </c>
      <c r="G64" s="44">
        <f>(F64/365)*100</f>
        <v>370.59939194770647</v>
      </c>
    </row>
    <row r="65" spans="1:7" x14ac:dyDescent="0.25">
      <c r="A65" s="53" t="s">
        <v>11</v>
      </c>
      <c r="B65" s="13">
        <f t="shared" si="12"/>
        <v>3850580.5490672695</v>
      </c>
      <c r="C65" s="51">
        <f t="shared" ref="C65:C72" si="14">B65/24</f>
        <v>160440.85621113624</v>
      </c>
      <c r="D65" s="18">
        <f t="shared" ref="D65:D72" si="15">(C65/365)*100</f>
        <v>43956.398961955136</v>
      </c>
      <c r="E65" s="54">
        <f t="shared" si="13"/>
        <v>34728.887209522938</v>
      </c>
      <c r="F65" s="28">
        <f t="shared" ref="F65:F72" si="16">E65/24</f>
        <v>1447.0369670634557</v>
      </c>
      <c r="G65" s="44">
        <f t="shared" ref="G65:G72" si="17">(F65/365)*100</f>
        <v>396.44848412697417</v>
      </c>
    </row>
    <row r="66" spans="1:7" x14ac:dyDescent="0.25">
      <c r="A66" s="53" t="s">
        <v>12</v>
      </c>
      <c r="B66" s="13">
        <f t="shared" si="12"/>
        <v>-7978292.0317894947</v>
      </c>
      <c r="C66" s="51">
        <f t="shared" si="14"/>
        <v>-332428.83465789561</v>
      </c>
      <c r="D66" s="18">
        <f t="shared" si="15"/>
        <v>-91076.393056957706</v>
      </c>
      <c r="E66" s="54">
        <f t="shared" si="13"/>
        <v>35240.176581144187</v>
      </c>
      <c r="F66" s="28">
        <f t="shared" si="16"/>
        <v>1468.3406908810077</v>
      </c>
      <c r="G66" s="44">
        <f t="shared" si="17"/>
        <v>402.2851207893172</v>
      </c>
    </row>
    <row r="67" spans="1:7" x14ac:dyDescent="0.25">
      <c r="A67" s="53" t="s">
        <v>13</v>
      </c>
      <c r="B67" s="13" t="s">
        <v>20</v>
      </c>
      <c r="C67" s="51" t="s">
        <v>20</v>
      </c>
      <c r="D67" s="18" t="s">
        <v>20</v>
      </c>
      <c r="E67" s="55" t="s">
        <v>20</v>
      </c>
      <c r="F67" s="51" t="s">
        <v>20</v>
      </c>
      <c r="G67" s="18" t="s">
        <v>20</v>
      </c>
    </row>
    <row r="68" spans="1:7" x14ac:dyDescent="0.25">
      <c r="A68" s="53" t="s">
        <v>14</v>
      </c>
      <c r="B68" s="13">
        <f t="shared" si="12"/>
        <v>-3900799.0013956362</v>
      </c>
      <c r="C68" s="51">
        <f t="shared" si="14"/>
        <v>-162533.29172481818</v>
      </c>
      <c r="D68" s="18">
        <f t="shared" si="15"/>
        <v>-44529.668965703611</v>
      </c>
      <c r="E68" s="54">
        <f t="shared" si="13"/>
        <v>-1969833.3333342706</v>
      </c>
      <c r="F68" s="28">
        <f t="shared" si="16"/>
        <v>-82076.388888927948</v>
      </c>
      <c r="G68" s="44">
        <f t="shared" si="17"/>
        <v>-22486.681887377519</v>
      </c>
    </row>
    <row r="69" spans="1:7" x14ac:dyDescent="0.25">
      <c r="A69" s="53" t="s">
        <v>15</v>
      </c>
      <c r="B69" s="13">
        <f t="shared" si="12"/>
        <v>33685.939100042386</v>
      </c>
      <c r="C69" s="51">
        <f t="shared" si="14"/>
        <v>1403.5807958350995</v>
      </c>
      <c r="D69" s="18">
        <f t="shared" si="15"/>
        <v>384.54268379043822</v>
      </c>
      <c r="E69" s="54">
        <f t="shared" si="13"/>
        <v>28899.615625279159</v>
      </c>
      <c r="F69" s="28">
        <f t="shared" si="16"/>
        <v>1204.1506510532984</v>
      </c>
      <c r="G69" s="44">
        <f t="shared" si="17"/>
        <v>329.90428795980773</v>
      </c>
    </row>
    <row r="70" spans="1:7" x14ac:dyDescent="0.25">
      <c r="A70" s="53" t="s">
        <v>16</v>
      </c>
      <c r="B70" s="13">
        <f t="shared" si="12"/>
        <v>33423.03740239684</v>
      </c>
      <c r="C70" s="51">
        <f t="shared" si="14"/>
        <v>1392.6265584332016</v>
      </c>
      <c r="D70" s="18">
        <f t="shared" si="15"/>
        <v>381.54152285841138</v>
      </c>
      <c r="E70" s="54">
        <f t="shared" si="13"/>
        <v>28588.74129696198</v>
      </c>
      <c r="F70" s="28">
        <f t="shared" si="16"/>
        <v>1191.1975540400824</v>
      </c>
      <c r="G70" s="44">
        <f t="shared" si="17"/>
        <v>326.35549425755681</v>
      </c>
    </row>
    <row r="71" spans="1:7" x14ac:dyDescent="0.25">
      <c r="A71" s="53" t="s">
        <v>17</v>
      </c>
      <c r="B71" s="13">
        <f t="shared" si="12"/>
        <v>-3274677.0304796523</v>
      </c>
      <c r="C71" s="51">
        <f t="shared" si="14"/>
        <v>-136444.87626998551</v>
      </c>
      <c r="D71" s="18">
        <f t="shared" si="15"/>
        <v>-37382.157882187814</v>
      </c>
      <c r="E71" s="54">
        <f t="shared" si="13"/>
        <v>21058.099268949707</v>
      </c>
      <c r="F71" s="28">
        <f t="shared" si="16"/>
        <v>877.42080287290446</v>
      </c>
      <c r="G71" s="44">
        <f t="shared" si="17"/>
        <v>240.3892610610697</v>
      </c>
    </row>
    <row r="72" spans="1:7" x14ac:dyDescent="0.25">
      <c r="A72" s="53" t="s">
        <v>18</v>
      </c>
      <c r="B72" s="13">
        <f t="shared" si="12"/>
        <v>-2372742.1468100939</v>
      </c>
      <c r="C72" s="51">
        <f t="shared" si="14"/>
        <v>-98864.25611708725</v>
      </c>
      <c r="D72" s="18">
        <f t="shared" si="15"/>
        <v>-27086.097566325276</v>
      </c>
      <c r="E72" s="54">
        <f t="shared" si="13"/>
        <v>21044.999393539412</v>
      </c>
      <c r="F72" s="28">
        <f t="shared" si="16"/>
        <v>876.87497473080884</v>
      </c>
      <c r="G72" s="44">
        <f t="shared" si="17"/>
        <v>240.23971910433119</v>
      </c>
    </row>
    <row r="73" spans="1:7" ht="15.75" thickBot="1" x14ac:dyDescent="0.3">
      <c r="A73" s="56" t="s">
        <v>19</v>
      </c>
      <c r="B73" s="13" t="s">
        <v>20</v>
      </c>
      <c r="C73" s="51" t="s">
        <v>20</v>
      </c>
      <c r="D73" s="18" t="s">
        <v>20</v>
      </c>
      <c r="E73" s="55" t="s">
        <v>20</v>
      </c>
      <c r="F73" s="51" t="s">
        <v>20</v>
      </c>
      <c r="G73" s="18" t="s">
        <v>20</v>
      </c>
    </row>
    <row r="74" spans="1:7" x14ac:dyDescent="0.25">
      <c r="A74" s="2" t="s">
        <v>46</v>
      </c>
      <c r="B74" s="3" t="s">
        <v>52</v>
      </c>
      <c r="C74" s="3" t="s">
        <v>52</v>
      </c>
      <c r="D74" s="8" t="s">
        <v>52</v>
      </c>
      <c r="E74" s="47" t="s">
        <v>52</v>
      </c>
      <c r="F74" s="3" t="s">
        <v>52</v>
      </c>
      <c r="G74" s="3" t="s">
        <v>52</v>
      </c>
    </row>
    <row r="75" spans="1:7" x14ac:dyDescent="0.25">
      <c r="A75" s="4" t="s">
        <v>6</v>
      </c>
      <c r="B75" s="5" t="s">
        <v>7</v>
      </c>
      <c r="C75" s="34" t="s">
        <v>7</v>
      </c>
      <c r="D75" s="16" t="s">
        <v>7</v>
      </c>
      <c r="E75" s="48" t="s">
        <v>21</v>
      </c>
      <c r="F75" s="34" t="s">
        <v>21</v>
      </c>
      <c r="G75" s="16" t="s">
        <v>21</v>
      </c>
    </row>
    <row r="76" spans="1:7" ht="15.75" thickBot="1" x14ac:dyDescent="0.3">
      <c r="A76" s="6" t="s">
        <v>48</v>
      </c>
      <c r="B76" s="7" t="s">
        <v>49</v>
      </c>
      <c r="C76" s="35" t="s">
        <v>50</v>
      </c>
      <c r="D76" s="17" t="s">
        <v>51</v>
      </c>
      <c r="E76" s="49" t="s">
        <v>49</v>
      </c>
      <c r="F76" s="35" t="s">
        <v>50</v>
      </c>
      <c r="G76" s="17" t="s">
        <v>51</v>
      </c>
    </row>
    <row r="77" spans="1:7" x14ac:dyDescent="0.25">
      <c r="A77" s="50" t="s">
        <v>10</v>
      </c>
      <c r="B77" s="10">
        <f t="shared" ref="B77:B85" si="18">G50/(B50-D50)</f>
        <v>14029180.695849128</v>
      </c>
      <c r="C77" s="51">
        <f>B77/24</f>
        <v>584549.1956603803</v>
      </c>
      <c r="D77" s="18">
        <f>(C77/1095)*100</f>
        <v>53383.488188162584</v>
      </c>
      <c r="E77" s="52">
        <f t="shared" ref="E77:E85" si="19">G50/(C50-E50)</f>
        <v>49945.394976337055</v>
      </c>
      <c r="F77" s="28">
        <f>E77/24</f>
        <v>2081.0581240140441</v>
      </c>
      <c r="G77" s="44">
        <f>(F77/1095)*100</f>
        <v>190.05097022959308</v>
      </c>
    </row>
    <row r="78" spans="1:7" x14ac:dyDescent="0.25">
      <c r="A78" s="53" t="s">
        <v>11</v>
      </c>
      <c r="B78" s="10">
        <f t="shared" si="18"/>
        <v>5923970.0754881073</v>
      </c>
      <c r="C78" s="51">
        <f t="shared" ref="C78:C85" si="20">B78/24</f>
        <v>246832.08647867115</v>
      </c>
      <c r="D78" s="18">
        <f t="shared" ref="D78:D85" si="21">(C78/1095)*100</f>
        <v>22541.743057412888</v>
      </c>
      <c r="E78" s="52">
        <f t="shared" si="19"/>
        <v>53429.057245419899</v>
      </c>
      <c r="F78" s="28">
        <f t="shared" ref="F78:F85" si="22">E78/24</f>
        <v>2226.2107185591626</v>
      </c>
      <c r="G78" s="44">
        <f t="shared" ref="G78:G85" si="23">(F78/1095)*100</f>
        <v>203.30691493690983</v>
      </c>
    </row>
    <row r="79" spans="1:7" x14ac:dyDescent="0.25">
      <c r="A79" s="53" t="s">
        <v>12</v>
      </c>
      <c r="B79" s="10">
        <f t="shared" si="18"/>
        <v>-12274295.433522299</v>
      </c>
      <c r="C79" s="51">
        <f t="shared" si="20"/>
        <v>-511428.97639676247</v>
      </c>
      <c r="D79" s="18">
        <f t="shared" si="21"/>
        <v>-46705.842593311645</v>
      </c>
      <c r="E79" s="52">
        <f t="shared" si="19"/>
        <v>54215.656278683367</v>
      </c>
      <c r="F79" s="28">
        <f t="shared" si="22"/>
        <v>2258.9856782784736</v>
      </c>
      <c r="G79" s="44">
        <f t="shared" si="23"/>
        <v>206.30006194323963</v>
      </c>
    </row>
    <row r="80" spans="1:7" x14ac:dyDescent="0.25">
      <c r="A80" s="53" t="s">
        <v>13</v>
      </c>
      <c r="B80" s="13" t="s">
        <v>20</v>
      </c>
      <c r="C80" s="51" t="s">
        <v>20</v>
      </c>
      <c r="D80" s="18" t="s">
        <v>20</v>
      </c>
      <c r="E80" s="55" t="s">
        <v>20</v>
      </c>
      <c r="F80" s="51" t="s">
        <v>20</v>
      </c>
      <c r="G80" s="18" t="s">
        <v>20</v>
      </c>
    </row>
    <row r="81" spans="1:7" x14ac:dyDescent="0.25">
      <c r="A81" s="53" t="s">
        <v>14</v>
      </c>
      <c r="B81" s="10">
        <f t="shared" si="18"/>
        <v>-5887998.4926726585</v>
      </c>
      <c r="C81" s="51">
        <f t="shared" si="20"/>
        <v>-245333.27052802744</v>
      </c>
      <c r="D81" s="18">
        <f t="shared" si="21"/>
        <v>-22404.864888404332</v>
      </c>
      <c r="E81" s="52">
        <f t="shared" si="19"/>
        <v>-2973333.3333347482</v>
      </c>
      <c r="F81" s="28">
        <f t="shared" si="22"/>
        <v>-123888.88888894784</v>
      </c>
      <c r="G81" s="44">
        <f t="shared" si="23"/>
        <v>-11314.053779812588</v>
      </c>
    </row>
    <row r="82" spans="1:7" x14ac:dyDescent="0.25">
      <c r="A82" s="53" t="s">
        <v>15</v>
      </c>
      <c r="B82" s="10">
        <f t="shared" si="18"/>
        <v>50846.700528365865</v>
      </c>
      <c r="C82" s="51">
        <f t="shared" si="20"/>
        <v>2118.6125220152444</v>
      </c>
      <c r="D82" s="18">
        <f t="shared" si="21"/>
        <v>193.48059561783055</v>
      </c>
      <c r="E82" s="52">
        <f t="shared" si="19"/>
        <v>43622.061321176086</v>
      </c>
      <c r="F82" s="28">
        <f t="shared" si="22"/>
        <v>1817.5858883823369</v>
      </c>
      <c r="G82" s="44">
        <f t="shared" si="23"/>
        <v>165.98957884770201</v>
      </c>
    </row>
    <row r="83" spans="1:7" x14ac:dyDescent="0.25">
      <c r="A83" s="53" t="s">
        <v>16</v>
      </c>
      <c r="B83" s="10">
        <f t="shared" si="18"/>
        <v>50449.867777202773</v>
      </c>
      <c r="C83" s="51">
        <f t="shared" si="20"/>
        <v>2102.0778240501154</v>
      </c>
      <c r="D83" s="18">
        <f t="shared" si="21"/>
        <v>191.97057753882331</v>
      </c>
      <c r="E83" s="52">
        <f t="shared" si="19"/>
        <v>43152.817052018087</v>
      </c>
      <c r="F83" s="28">
        <f t="shared" si="22"/>
        <v>1798.034043834087</v>
      </c>
      <c r="G83" s="44">
        <f t="shared" si="23"/>
        <v>164.20402226795315</v>
      </c>
    </row>
    <row r="84" spans="1:7" x14ac:dyDescent="0.25">
      <c r="A84" s="53" t="s">
        <v>17</v>
      </c>
      <c r="B84" s="10">
        <f t="shared" si="18"/>
        <v>-5037964.6622763881</v>
      </c>
      <c r="C84" s="51">
        <f t="shared" si="20"/>
        <v>-209915.19426151618</v>
      </c>
      <c r="D84" s="18">
        <f t="shared" si="21"/>
        <v>-19170.337375480929</v>
      </c>
      <c r="E84" s="52">
        <f t="shared" si="19"/>
        <v>32397.075798384161</v>
      </c>
      <c r="F84" s="28">
        <f t="shared" si="22"/>
        <v>1349.8781582660067</v>
      </c>
      <c r="G84" s="44">
        <f t="shared" si="23"/>
        <v>123.2765441338819</v>
      </c>
    </row>
    <row r="85" spans="1:7" x14ac:dyDescent="0.25">
      <c r="A85" s="53" t="s">
        <v>18</v>
      </c>
      <c r="B85" s="10">
        <f t="shared" si="18"/>
        <v>-3650372.5335539905</v>
      </c>
      <c r="C85" s="51">
        <f t="shared" si="20"/>
        <v>-152098.8555647496</v>
      </c>
      <c r="D85" s="18">
        <f t="shared" si="21"/>
        <v>-13890.30644426937</v>
      </c>
      <c r="E85" s="52">
        <f t="shared" si="19"/>
        <v>32376.922143906788</v>
      </c>
      <c r="F85" s="28">
        <f t="shared" si="22"/>
        <v>1349.0384226627828</v>
      </c>
      <c r="G85" s="44">
        <f t="shared" si="23"/>
        <v>123.19985595093908</v>
      </c>
    </row>
    <row r="86" spans="1:7" ht="15.75" thickBot="1" x14ac:dyDescent="0.3">
      <c r="A86" s="56" t="s">
        <v>19</v>
      </c>
      <c r="B86" s="13" t="s">
        <v>20</v>
      </c>
      <c r="C86" s="51" t="s">
        <v>20</v>
      </c>
      <c r="D86" s="18" t="s">
        <v>20</v>
      </c>
      <c r="E86" s="55" t="s">
        <v>20</v>
      </c>
      <c r="F86" s="51" t="s">
        <v>20</v>
      </c>
      <c r="G86" s="18" t="s">
        <v>20</v>
      </c>
    </row>
    <row r="88" spans="1:7" ht="18.75" x14ac:dyDescent="0.3">
      <c r="A88" s="1" t="s">
        <v>55</v>
      </c>
      <c r="B88" s="40"/>
    </row>
    <row r="89" spans="1:7" ht="15.75" thickBot="1" x14ac:dyDescent="0.3"/>
    <row r="90" spans="1:7" x14ac:dyDescent="0.25">
      <c r="A90" s="41" t="s">
        <v>41</v>
      </c>
      <c r="B90" s="3" t="s">
        <v>54</v>
      </c>
      <c r="C90" s="33" t="s">
        <v>54</v>
      </c>
      <c r="D90" s="3" t="s">
        <v>43</v>
      </c>
      <c r="E90" s="32" t="s">
        <v>43</v>
      </c>
      <c r="F90" s="32" t="s">
        <v>43</v>
      </c>
      <c r="G90" s="33" t="s">
        <v>43</v>
      </c>
    </row>
    <row r="91" spans="1:7" x14ac:dyDescent="0.25">
      <c r="A91" s="42" t="s">
        <v>6</v>
      </c>
      <c r="B91" s="5" t="s">
        <v>7</v>
      </c>
      <c r="C91" s="16" t="s">
        <v>21</v>
      </c>
      <c r="D91" s="5" t="s">
        <v>7</v>
      </c>
      <c r="E91" s="34" t="s">
        <v>21</v>
      </c>
      <c r="F91" s="34"/>
      <c r="G91" s="16"/>
    </row>
    <row r="92" spans="1:7" ht="15.75" thickBot="1" x14ac:dyDescent="0.3">
      <c r="A92" s="43" t="s">
        <v>8</v>
      </c>
      <c r="B92" s="7" t="s">
        <v>9</v>
      </c>
      <c r="C92" s="17" t="s">
        <v>9</v>
      </c>
      <c r="D92" s="7" t="s">
        <v>9</v>
      </c>
      <c r="E92" s="35" t="s">
        <v>9</v>
      </c>
      <c r="F92" s="35" t="s">
        <v>44</v>
      </c>
      <c r="G92" s="17" t="s">
        <v>45</v>
      </c>
    </row>
    <row r="93" spans="1:7" x14ac:dyDescent="0.25">
      <c r="A93" s="8" t="s">
        <v>10</v>
      </c>
      <c r="B93" s="10">
        <v>3.9972082999999999E-2</v>
      </c>
      <c r="C93" s="18">
        <v>6.7123456790121994E-2</v>
      </c>
      <c r="D93" s="23">
        <v>0.04</v>
      </c>
      <c r="E93" s="28">
        <v>0.06</v>
      </c>
      <c r="F93" s="28">
        <v>227.5</v>
      </c>
      <c r="G93" s="44">
        <v>350</v>
      </c>
    </row>
    <row r="94" spans="1:7" x14ac:dyDescent="0.25">
      <c r="A94" s="11" t="s">
        <v>11</v>
      </c>
      <c r="B94" s="13">
        <v>0.160399918</v>
      </c>
      <c r="C94" s="20">
        <v>0.26753795546558501</v>
      </c>
      <c r="D94" s="25">
        <v>0.16</v>
      </c>
      <c r="E94" s="30">
        <v>0.24</v>
      </c>
      <c r="F94" s="45">
        <v>910</v>
      </c>
      <c r="G94" s="46">
        <v>1400</v>
      </c>
    </row>
    <row r="95" spans="1:7" x14ac:dyDescent="0.25">
      <c r="A95" s="11" t="s">
        <v>12</v>
      </c>
      <c r="B95" s="13">
        <v>0.31986820399999999</v>
      </c>
      <c r="C95" s="20">
        <v>0.53322305389221303</v>
      </c>
      <c r="D95" s="25">
        <v>0.32</v>
      </c>
      <c r="E95" s="30">
        <v>0.48</v>
      </c>
      <c r="F95" s="30">
        <v>1820</v>
      </c>
      <c r="G95" s="38">
        <v>2800</v>
      </c>
    </row>
    <row r="96" spans="1:7" x14ac:dyDescent="0.25">
      <c r="A96" s="11" t="s">
        <v>13</v>
      </c>
      <c r="B96" s="13" t="s">
        <v>20</v>
      </c>
      <c r="C96" s="20" t="s">
        <v>20</v>
      </c>
      <c r="D96" s="25">
        <v>0.01</v>
      </c>
      <c r="E96" s="30">
        <v>1.6E-2</v>
      </c>
      <c r="F96" s="30">
        <v>54</v>
      </c>
      <c r="G96" s="38">
        <v>82</v>
      </c>
    </row>
    <row r="97" spans="1:7" x14ac:dyDescent="0.25">
      <c r="A97" s="11" t="s">
        <v>14</v>
      </c>
      <c r="B97" s="13">
        <v>0.24026482699999999</v>
      </c>
      <c r="C97" s="20">
        <v>0.32036363636363602</v>
      </c>
      <c r="D97" s="25">
        <v>0.24</v>
      </c>
      <c r="E97" s="30">
        <v>0.32</v>
      </c>
      <c r="F97" s="30">
        <v>1325</v>
      </c>
      <c r="G97" s="38">
        <v>2000</v>
      </c>
    </row>
    <row r="98" spans="1:7" x14ac:dyDescent="0.25">
      <c r="A98" s="11" t="s">
        <v>15</v>
      </c>
      <c r="B98" s="13">
        <v>0.56054631099999996</v>
      </c>
      <c r="C98" s="20">
        <v>0.73426305220883603</v>
      </c>
      <c r="D98" s="25">
        <v>0.48</v>
      </c>
      <c r="E98" s="30">
        <v>0.64</v>
      </c>
      <c r="F98" s="30">
        <v>2650</v>
      </c>
      <c r="G98" s="38">
        <v>4000</v>
      </c>
    </row>
    <row r="99" spans="1:7" x14ac:dyDescent="0.25">
      <c r="A99" s="11" t="s">
        <v>16</v>
      </c>
      <c r="B99" s="13">
        <v>1.120428277</v>
      </c>
      <c r="C99" s="20">
        <v>1.4678495934959299</v>
      </c>
      <c r="D99" s="25">
        <v>0.96</v>
      </c>
      <c r="E99" s="30">
        <v>1.28</v>
      </c>
      <c r="F99" s="30">
        <v>5300</v>
      </c>
      <c r="G99" s="38">
        <v>8000</v>
      </c>
    </row>
    <row r="100" spans="1:7" x14ac:dyDescent="0.25">
      <c r="A100" s="11" t="s">
        <v>17</v>
      </c>
      <c r="B100" s="13">
        <v>7.9970853999999994E-2</v>
      </c>
      <c r="C100" s="20">
        <v>0.16702545824847201</v>
      </c>
      <c r="D100" s="25">
        <v>0.08</v>
      </c>
      <c r="E100" s="30">
        <v>0.14499999999999999</v>
      </c>
      <c r="F100" s="30">
        <v>455</v>
      </c>
      <c r="G100" s="38">
        <v>700</v>
      </c>
    </row>
    <row r="101" spans="1:7" x14ac:dyDescent="0.25">
      <c r="A101" s="11" t="s">
        <v>18</v>
      </c>
      <c r="B101" s="13">
        <v>0.32022742300000001</v>
      </c>
      <c r="C101" s="20">
        <v>0.66682643794147101</v>
      </c>
      <c r="D101" s="25">
        <v>0.32</v>
      </c>
      <c r="E101" s="30">
        <v>0.57999999999999996</v>
      </c>
      <c r="F101" s="30">
        <v>1820</v>
      </c>
      <c r="G101" s="38">
        <v>2800</v>
      </c>
    </row>
    <row r="102" spans="1:7" ht="15.75" thickBot="1" x14ac:dyDescent="0.3">
      <c r="A102" s="14" t="s">
        <v>19</v>
      </c>
      <c r="B102" s="15" t="s">
        <v>20</v>
      </c>
      <c r="C102" s="21" t="s">
        <v>20</v>
      </c>
      <c r="D102" s="15" t="s">
        <v>20</v>
      </c>
      <c r="E102" s="31" t="s">
        <v>20</v>
      </c>
      <c r="F102" s="31" t="s">
        <v>20</v>
      </c>
      <c r="G102" s="21" t="s">
        <v>20</v>
      </c>
    </row>
    <row r="103" spans="1:7" ht="15.75" thickBot="1" x14ac:dyDescent="0.3"/>
    <row r="104" spans="1:7" x14ac:dyDescent="0.25">
      <c r="A104" s="2" t="s">
        <v>46</v>
      </c>
      <c r="B104" s="3" t="s">
        <v>47</v>
      </c>
      <c r="C104" s="32" t="s">
        <v>47</v>
      </c>
      <c r="D104" s="33" t="s">
        <v>47</v>
      </c>
      <c r="E104" s="47" t="s">
        <v>47</v>
      </c>
      <c r="F104" s="32" t="s">
        <v>47</v>
      </c>
      <c r="G104" s="33" t="s">
        <v>47</v>
      </c>
    </row>
    <row r="105" spans="1:7" x14ac:dyDescent="0.25">
      <c r="A105" s="4" t="s">
        <v>6</v>
      </c>
      <c r="B105" s="5" t="s">
        <v>7</v>
      </c>
      <c r="C105" s="34" t="s">
        <v>7</v>
      </c>
      <c r="D105" s="16" t="s">
        <v>7</v>
      </c>
      <c r="E105" s="48" t="s">
        <v>21</v>
      </c>
      <c r="F105" s="34" t="s">
        <v>21</v>
      </c>
      <c r="G105" s="16" t="s">
        <v>21</v>
      </c>
    </row>
    <row r="106" spans="1:7" ht="15.75" thickBot="1" x14ac:dyDescent="0.3">
      <c r="A106" s="6" t="s">
        <v>48</v>
      </c>
      <c r="B106" s="7" t="s">
        <v>49</v>
      </c>
      <c r="C106" s="35" t="s">
        <v>50</v>
      </c>
      <c r="D106" s="17" t="s">
        <v>51</v>
      </c>
      <c r="E106" s="49" t="s">
        <v>49</v>
      </c>
      <c r="F106" s="35" t="s">
        <v>50</v>
      </c>
      <c r="G106" s="17" t="s">
        <v>51</v>
      </c>
    </row>
    <row r="107" spans="1:7" x14ac:dyDescent="0.25">
      <c r="A107" s="50" t="s">
        <v>10</v>
      </c>
      <c r="B107" s="10">
        <f t="shared" ref="B107:B115" si="24">F93/(B93-D93)</f>
        <v>-8149156.4279822782</v>
      </c>
      <c r="C107" s="51">
        <f>B107/24</f>
        <v>-339548.18449926161</v>
      </c>
      <c r="D107" s="18">
        <f>(C107/365)*100</f>
        <v>-93026.899862811406</v>
      </c>
      <c r="E107" s="52">
        <f t="shared" ref="E107:E115" si="25">F93/(C93-E93)</f>
        <v>31936.741767770847</v>
      </c>
      <c r="F107" s="28">
        <f>E107/24</f>
        <v>1330.6975736571187</v>
      </c>
      <c r="G107" s="44">
        <f>(F107/365)*100</f>
        <v>364.57467771427912</v>
      </c>
    </row>
    <row r="108" spans="1:7" x14ac:dyDescent="0.25">
      <c r="A108" s="53" t="s">
        <v>11</v>
      </c>
      <c r="B108" s="13">
        <f t="shared" si="24"/>
        <v>2275466.4706264837</v>
      </c>
      <c r="C108" s="51">
        <f t="shared" ref="C108:C115" si="26">B108/24</f>
        <v>94811.102942770158</v>
      </c>
      <c r="D108" s="18">
        <f t="shared" ref="D108:D115" si="27">(C108/365)*100</f>
        <v>25975.644641854837</v>
      </c>
      <c r="E108" s="54">
        <f t="shared" si="25"/>
        <v>33045.300009191073</v>
      </c>
      <c r="F108" s="28">
        <f t="shared" ref="F108:F115" si="28">E108/24</f>
        <v>1376.8875003829614</v>
      </c>
      <c r="G108" s="44">
        <f t="shared" ref="G108:G115" si="29">(F108/365)*100</f>
        <v>377.22945215971544</v>
      </c>
    </row>
    <row r="109" spans="1:7" x14ac:dyDescent="0.25">
      <c r="A109" s="53" t="s">
        <v>12</v>
      </c>
      <c r="B109" s="13">
        <f t="shared" si="24"/>
        <v>-13809220.310174515</v>
      </c>
      <c r="C109" s="51">
        <f t="shared" si="26"/>
        <v>-575384.17959060485</v>
      </c>
      <c r="D109" s="18">
        <f t="shared" si="27"/>
        <v>-157639.50125769994</v>
      </c>
      <c r="E109" s="54">
        <f t="shared" si="25"/>
        <v>34195.70781650093</v>
      </c>
      <c r="F109" s="28">
        <f t="shared" si="28"/>
        <v>1424.8211590208721</v>
      </c>
      <c r="G109" s="44">
        <f t="shared" si="29"/>
        <v>390.36196137558142</v>
      </c>
    </row>
    <row r="110" spans="1:7" x14ac:dyDescent="0.25">
      <c r="A110" s="53" t="s">
        <v>13</v>
      </c>
      <c r="B110" s="13" t="s">
        <v>20</v>
      </c>
      <c r="C110" s="51" t="s">
        <v>20</v>
      </c>
      <c r="D110" s="18" t="s">
        <v>20</v>
      </c>
      <c r="E110" s="55" t="s">
        <v>20</v>
      </c>
      <c r="F110" s="51" t="s">
        <v>20</v>
      </c>
      <c r="G110" s="18" t="s">
        <v>20</v>
      </c>
    </row>
    <row r="111" spans="1:7" x14ac:dyDescent="0.25">
      <c r="A111" s="53" t="s">
        <v>14</v>
      </c>
      <c r="B111" s="13">
        <f t="shared" si="24"/>
        <v>5003266.28327181</v>
      </c>
      <c r="C111" s="51">
        <f t="shared" si="26"/>
        <v>208469.42846965874</v>
      </c>
      <c r="D111" s="18">
        <f t="shared" si="27"/>
        <v>57114.911909495553</v>
      </c>
      <c r="E111" s="54">
        <f t="shared" si="25"/>
        <v>3643750.0000035367</v>
      </c>
      <c r="F111" s="28">
        <f t="shared" si="28"/>
        <v>151822.91666681404</v>
      </c>
      <c r="G111" s="44">
        <f t="shared" si="29"/>
        <v>41595.319634743573</v>
      </c>
    </row>
    <row r="112" spans="1:7" x14ac:dyDescent="0.25">
      <c r="A112" s="53" t="s">
        <v>15</v>
      </c>
      <c r="B112" s="13">
        <f t="shared" si="24"/>
        <v>32900.327365706427</v>
      </c>
      <c r="C112" s="51">
        <f t="shared" si="26"/>
        <v>1370.8469735711012</v>
      </c>
      <c r="D112" s="18">
        <f t="shared" si="27"/>
        <v>375.57451330715105</v>
      </c>
      <c r="E112" s="54">
        <f t="shared" si="25"/>
        <v>28112.817672496229</v>
      </c>
      <c r="F112" s="28">
        <f t="shared" si="28"/>
        <v>1171.3674030206762</v>
      </c>
      <c r="G112" s="44">
        <f t="shared" si="29"/>
        <v>320.92257617004827</v>
      </c>
    </row>
    <row r="113" spans="1:7" x14ac:dyDescent="0.25">
      <c r="A113" s="53" t="s">
        <v>16</v>
      </c>
      <c r="B113" s="13">
        <f t="shared" si="24"/>
        <v>33036.569980739732</v>
      </c>
      <c r="C113" s="51">
        <f t="shared" si="26"/>
        <v>1376.5237491974888</v>
      </c>
      <c r="D113" s="18">
        <f t="shared" si="27"/>
        <v>377.12979430068185</v>
      </c>
      <c r="E113" s="54">
        <f t="shared" si="25"/>
        <v>28214.061587068776</v>
      </c>
      <c r="F113" s="28">
        <f t="shared" si="28"/>
        <v>1175.585899461199</v>
      </c>
      <c r="G113" s="44">
        <f t="shared" si="29"/>
        <v>322.07832861950658</v>
      </c>
    </row>
    <row r="114" spans="1:7" x14ac:dyDescent="0.25">
      <c r="A114" s="53" t="s">
        <v>17</v>
      </c>
      <c r="B114" s="13">
        <f t="shared" si="24"/>
        <v>-15611061.552181443</v>
      </c>
      <c r="C114" s="51">
        <f t="shared" si="26"/>
        <v>-650460.89800756017</v>
      </c>
      <c r="D114" s="18">
        <f t="shared" si="27"/>
        <v>-178208.46520755073</v>
      </c>
      <c r="E114" s="54">
        <f t="shared" si="25"/>
        <v>20657.912987193577</v>
      </c>
      <c r="F114" s="28">
        <f t="shared" si="28"/>
        <v>860.74637446639906</v>
      </c>
      <c r="G114" s="44">
        <f t="shared" si="29"/>
        <v>235.82092451134221</v>
      </c>
    </row>
    <row r="115" spans="1:7" x14ac:dyDescent="0.25">
      <c r="A115" s="53" t="s">
        <v>18</v>
      </c>
      <c r="B115" s="13">
        <f t="shared" si="24"/>
        <v>8002708.6090675304</v>
      </c>
      <c r="C115" s="51">
        <f t="shared" si="26"/>
        <v>333446.19204448041</v>
      </c>
      <c r="D115" s="18">
        <f t="shared" si="27"/>
        <v>91355.121108076826</v>
      </c>
      <c r="E115" s="54">
        <f t="shared" si="25"/>
        <v>20961.357429252668</v>
      </c>
      <c r="F115" s="28">
        <f t="shared" si="28"/>
        <v>873.38989288552784</v>
      </c>
      <c r="G115" s="44">
        <f t="shared" si="29"/>
        <v>239.2849021604186</v>
      </c>
    </row>
    <row r="116" spans="1:7" ht="15.75" thickBot="1" x14ac:dyDescent="0.3">
      <c r="A116" s="56" t="s">
        <v>19</v>
      </c>
      <c r="B116" s="59" t="s">
        <v>20</v>
      </c>
      <c r="C116" s="59" t="s">
        <v>20</v>
      </c>
      <c r="D116" s="59" t="s">
        <v>20</v>
      </c>
      <c r="E116" s="59" t="s">
        <v>20</v>
      </c>
      <c r="F116" s="31" t="s">
        <v>20</v>
      </c>
      <c r="G116" s="21" t="s">
        <v>20</v>
      </c>
    </row>
    <row r="117" spans="1:7" x14ac:dyDescent="0.25">
      <c r="A117" s="2" t="s">
        <v>46</v>
      </c>
      <c r="B117" s="3" t="s">
        <v>52</v>
      </c>
      <c r="C117" s="3" t="s">
        <v>52</v>
      </c>
      <c r="D117" s="8" t="s">
        <v>52</v>
      </c>
      <c r="E117" s="47" t="s">
        <v>52</v>
      </c>
      <c r="F117" s="3" t="s">
        <v>52</v>
      </c>
      <c r="G117" s="3" t="s">
        <v>52</v>
      </c>
    </row>
    <row r="118" spans="1:7" x14ac:dyDescent="0.25">
      <c r="A118" s="4" t="s">
        <v>6</v>
      </c>
      <c r="B118" s="5" t="s">
        <v>7</v>
      </c>
      <c r="C118" s="34" t="s">
        <v>7</v>
      </c>
      <c r="D118" s="16" t="s">
        <v>7</v>
      </c>
      <c r="E118" s="48" t="s">
        <v>21</v>
      </c>
      <c r="F118" s="34" t="s">
        <v>21</v>
      </c>
      <c r="G118" s="16" t="s">
        <v>21</v>
      </c>
    </row>
    <row r="119" spans="1:7" ht="15.75" thickBot="1" x14ac:dyDescent="0.3">
      <c r="A119" s="6" t="s">
        <v>48</v>
      </c>
      <c r="B119" s="7" t="s">
        <v>49</v>
      </c>
      <c r="C119" s="35" t="s">
        <v>50</v>
      </c>
      <c r="D119" s="17" t="s">
        <v>51</v>
      </c>
      <c r="E119" s="49" t="s">
        <v>49</v>
      </c>
      <c r="F119" s="35" t="s">
        <v>50</v>
      </c>
      <c r="G119" s="17" t="s">
        <v>51</v>
      </c>
    </row>
    <row r="120" spans="1:7" x14ac:dyDescent="0.25">
      <c r="A120" s="50" t="s">
        <v>10</v>
      </c>
      <c r="B120" s="10">
        <f t="shared" ref="B120:B128" si="30">G93/(B93-D93)</f>
        <v>-12537163.73535735</v>
      </c>
      <c r="C120" s="51">
        <f>B120/24</f>
        <v>-522381.82230655622</v>
      </c>
      <c r="D120" s="18">
        <f>(C120/1095)*100</f>
        <v>-47706.102493749429</v>
      </c>
      <c r="E120" s="52">
        <f t="shared" ref="E120:E128" si="31">G93/(C93-E93)</f>
        <v>49133.448873493609</v>
      </c>
      <c r="F120" s="28">
        <f>E120/24</f>
        <v>2047.227036395567</v>
      </c>
      <c r="G120" s="44">
        <f>(F120/1095)*100</f>
        <v>186.96137318680977</v>
      </c>
    </row>
    <row r="121" spans="1:7" x14ac:dyDescent="0.25">
      <c r="A121" s="53" t="s">
        <v>11</v>
      </c>
      <c r="B121" s="10">
        <f t="shared" si="30"/>
        <v>3500717.6471176669</v>
      </c>
      <c r="C121" s="51">
        <f t="shared" ref="C121:C128" si="32">B121/24</f>
        <v>145863.23529656944</v>
      </c>
      <c r="D121" s="18">
        <f t="shared" ref="D121:D128" si="33">(C121/1095)*100</f>
        <v>13320.843406079402</v>
      </c>
      <c r="E121" s="52">
        <f t="shared" si="31"/>
        <v>50838.923091063189</v>
      </c>
      <c r="F121" s="28">
        <f t="shared" ref="F121:F128" si="34">E121/24</f>
        <v>2118.288462127633</v>
      </c>
      <c r="G121" s="44">
        <f t="shared" ref="G121:G128" si="35">(F121/1095)*100</f>
        <v>193.45100110754638</v>
      </c>
    </row>
    <row r="122" spans="1:7" x14ac:dyDescent="0.25">
      <c r="A122" s="53" t="s">
        <v>12</v>
      </c>
      <c r="B122" s="10">
        <f t="shared" si="30"/>
        <v>-21244954.323345408</v>
      </c>
      <c r="C122" s="51">
        <f t="shared" si="32"/>
        <v>-885206.43013939203</v>
      </c>
      <c r="D122" s="18">
        <f t="shared" si="33"/>
        <v>-80840.769875743572</v>
      </c>
      <c r="E122" s="52">
        <f t="shared" si="31"/>
        <v>52608.781256155278</v>
      </c>
      <c r="F122" s="28">
        <f t="shared" si="34"/>
        <v>2192.0325523398033</v>
      </c>
      <c r="G122" s="44">
        <f t="shared" si="35"/>
        <v>200.18562121824687</v>
      </c>
    </row>
    <row r="123" spans="1:7" x14ac:dyDescent="0.25">
      <c r="A123" s="53" t="s">
        <v>13</v>
      </c>
      <c r="B123" s="13" t="s">
        <v>20</v>
      </c>
      <c r="C123" s="51" t="s">
        <v>20</v>
      </c>
      <c r="D123" s="18" t="s">
        <v>20</v>
      </c>
      <c r="E123" s="55" t="s">
        <v>20</v>
      </c>
      <c r="F123" s="51" t="s">
        <v>20</v>
      </c>
      <c r="G123" s="18" t="s">
        <v>20</v>
      </c>
    </row>
    <row r="124" spans="1:7" x14ac:dyDescent="0.25">
      <c r="A124" s="53" t="s">
        <v>14</v>
      </c>
      <c r="B124" s="10">
        <f t="shared" si="30"/>
        <v>7552100.0502216006</v>
      </c>
      <c r="C124" s="51">
        <f t="shared" si="32"/>
        <v>314670.8354259</v>
      </c>
      <c r="D124" s="18">
        <f t="shared" si="33"/>
        <v>28737.062595972606</v>
      </c>
      <c r="E124" s="52">
        <f t="shared" si="31"/>
        <v>5500000.0000053383</v>
      </c>
      <c r="F124" s="28">
        <f t="shared" si="34"/>
        <v>229166.6666668891</v>
      </c>
      <c r="G124" s="44">
        <f t="shared" si="35"/>
        <v>20928.462709304942</v>
      </c>
    </row>
    <row r="125" spans="1:7" x14ac:dyDescent="0.25">
      <c r="A125" s="53" t="s">
        <v>15</v>
      </c>
      <c r="B125" s="10">
        <f t="shared" si="30"/>
        <v>49660.871495405925</v>
      </c>
      <c r="C125" s="51">
        <f t="shared" si="32"/>
        <v>2069.2029789752469</v>
      </c>
      <c r="D125" s="18">
        <f t="shared" si="33"/>
        <v>188.96830858221432</v>
      </c>
      <c r="E125" s="52">
        <f t="shared" si="31"/>
        <v>42434.441769805628</v>
      </c>
      <c r="F125" s="28">
        <f t="shared" si="34"/>
        <v>1768.1017404085678</v>
      </c>
      <c r="G125" s="44">
        <f t="shared" si="35"/>
        <v>161.47047857612492</v>
      </c>
    </row>
    <row r="126" spans="1:7" x14ac:dyDescent="0.25">
      <c r="A126" s="53" t="s">
        <v>16</v>
      </c>
      <c r="B126" s="10">
        <f t="shared" si="30"/>
        <v>49866.520725644878</v>
      </c>
      <c r="C126" s="51">
        <f t="shared" si="32"/>
        <v>2077.7716969018697</v>
      </c>
      <c r="D126" s="18">
        <f t="shared" si="33"/>
        <v>189.75083989971412</v>
      </c>
      <c r="E126" s="52">
        <f t="shared" si="31"/>
        <v>42587.262772934002</v>
      </c>
      <c r="F126" s="28">
        <f t="shared" si="34"/>
        <v>1774.4692822055833</v>
      </c>
      <c r="G126" s="44">
        <f t="shared" si="35"/>
        <v>162.05198924251903</v>
      </c>
    </row>
    <row r="127" spans="1:7" x14ac:dyDescent="0.25">
      <c r="A127" s="53" t="s">
        <v>17</v>
      </c>
      <c r="B127" s="10">
        <f t="shared" si="30"/>
        <v>-24017017.772586834</v>
      </c>
      <c r="C127" s="51">
        <f t="shared" si="32"/>
        <v>-1000709.0738577847</v>
      </c>
      <c r="D127" s="18">
        <f t="shared" si="33"/>
        <v>-91388.956516692662</v>
      </c>
      <c r="E127" s="52">
        <f t="shared" si="31"/>
        <v>31781.404595682427</v>
      </c>
      <c r="F127" s="28">
        <f t="shared" si="34"/>
        <v>1324.2251914867677</v>
      </c>
      <c r="G127" s="44">
        <f t="shared" si="35"/>
        <v>120.93380744171394</v>
      </c>
    </row>
    <row r="128" spans="1:7" x14ac:dyDescent="0.25">
      <c r="A128" s="53" t="s">
        <v>18</v>
      </c>
      <c r="B128" s="10">
        <f t="shared" si="30"/>
        <v>12311859.398565432</v>
      </c>
      <c r="C128" s="51">
        <f t="shared" si="32"/>
        <v>512994.14160689298</v>
      </c>
      <c r="D128" s="18">
        <f t="shared" si="33"/>
        <v>46848.780055424017</v>
      </c>
      <c r="E128" s="52">
        <f t="shared" si="31"/>
        <v>32248.242198850261</v>
      </c>
      <c r="F128" s="28">
        <f t="shared" si="34"/>
        <v>1343.6767582854275</v>
      </c>
      <c r="G128" s="44">
        <f t="shared" si="35"/>
        <v>122.7102062361121</v>
      </c>
    </row>
    <row r="129" spans="1:7" ht="15.75" thickBot="1" x14ac:dyDescent="0.3">
      <c r="A129" s="56" t="s">
        <v>19</v>
      </c>
      <c r="B129" s="59" t="s">
        <v>20</v>
      </c>
      <c r="C129" s="59" t="s">
        <v>20</v>
      </c>
      <c r="D129" s="59" t="s">
        <v>20</v>
      </c>
      <c r="E129" s="59" t="s">
        <v>20</v>
      </c>
      <c r="F129" s="31" t="s">
        <v>20</v>
      </c>
      <c r="G129" s="21" t="s">
        <v>20</v>
      </c>
    </row>
    <row r="131" spans="1:7" ht="18.75" x14ac:dyDescent="0.3">
      <c r="A131" s="1" t="s">
        <v>56</v>
      </c>
      <c r="B131" s="40"/>
    </row>
    <row r="132" spans="1:7" ht="15.75" thickBot="1" x14ac:dyDescent="0.3"/>
    <row r="133" spans="1:7" x14ac:dyDescent="0.25">
      <c r="A133" s="41" t="s">
        <v>41</v>
      </c>
      <c r="B133" s="3" t="s">
        <v>54</v>
      </c>
      <c r="C133" s="33" t="s">
        <v>54</v>
      </c>
      <c r="D133" s="3" t="s">
        <v>43</v>
      </c>
      <c r="E133" s="32" t="s">
        <v>43</v>
      </c>
      <c r="F133" s="32" t="s">
        <v>43</v>
      </c>
      <c r="G133" s="33" t="s">
        <v>43</v>
      </c>
    </row>
    <row r="134" spans="1:7" x14ac:dyDescent="0.25">
      <c r="A134" s="42" t="s">
        <v>6</v>
      </c>
      <c r="B134" s="5" t="s">
        <v>7</v>
      </c>
      <c r="C134" s="16" t="s">
        <v>21</v>
      </c>
      <c r="D134" s="5" t="s">
        <v>7</v>
      </c>
      <c r="E134" s="34" t="s">
        <v>21</v>
      </c>
      <c r="F134" s="34"/>
      <c r="G134" s="16"/>
    </row>
    <row r="135" spans="1:7" ht="15.75" thickBot="1" x14ac:dyDescent="0.3">
      <c r="A135" s="43" t="s">
        <v>8</v>
      </c>
      <c r="B135" s="7" t="s">
        <v>9</v>
      </c>
      <c r="C135" s="17" t="s">
        <v>9</v>
      </c>
      <c r="D135" s="7" t="s">
        <v>9</v>
      </c>
      <c r="E135" s="35" t="s">
        <v>9</v>
      </c>
      <c r="F135" s="35" t="s">
        <v>44</v>
      </c>
      <c r="G135" s="17" t="s">
        <v>45</v>
      </c>
    </row>
    <row r="136" spans="1:7" x14ac:dyDescent="0.25">
      <c r="A136" s="8" t="s">
        <v>10</v>
      </c>
      <c r="B136" s="10">
        <v>4.0024999999999998E-2</v>
      </c>
      <c r="C136" s="18">
        <v>6.7053524804177603E-2</v>
      </c>
      <c r="D136" s="23">
        <v>0.04</v>
      </c>
      <c r="E136" s="28">
        <v>0.06</v>
      </c>
      <c r="F136" s="28">
        <v>227.5</v>
      </c>
      <c r="G136" s="44">
        <v>350</v>
      </c>
    </row>
    <row r="137" spans="1:7" x14ac:dyDescent="0.25">
      <c r="A137" s="11" t="s">
        <v>11</v>
      </c>
      <c r="B137" s="13">
        <v>0.16095114899999999</v>
      </c>
      <c r="C137" s="20">
        <v>0.26685611510791302</v>
      </c>
      <c r="D137" s="25">
        <v>0.16</v>
      </c>
      <c r="E137" s="30">
        <v>0.24</v>
      </c>
      <c r="F137" s="45">
        <v>910</v>
      </c>
      <c r="G137" s="46">
        <v>1400</v>
      </c>
    </row>
    <row r="138" spans="1:7" x14ac:dyDescent="0.25">
      <c r="A138" s="11" t="s">
        <v>12</v>
      </c>
      <c r="B138" s="13">
        <v>0.32088727299999997</v>
      </c>
      <c r="C138" s="20">
        <v>0.53360981308411204</v>
      </c>
      <c r="D138" s="25">
        <v>0.32</v>
      </c>
      <c r="E138" s="30">
        <v>0.48</v>
      </c>
      <c r="F138" s="30">
        <v>1820</v>
      </c>
      <c r="G138" s="38">
        <v>2800</v>
      </c>
    </row>
    <row r="139" spans="1:7" x14ac:dyDescent="0.25">
      <c r="A139" s="11" t="s">
        <v>13</v>
      </c>
      <c r="B139" s="13" t="s">
        <v>20</v>
      </c>
      <c r="C139" s="20" t="s">
        <v>20</v>
      </c>
      <c r="D139" s="25">
        <v>0.01</v>
      </c>
      <c r="E139" s="30">
        <v>1.6E-2</v>
      </c>
      <c r="F139" s="30">
        <v>54</v>
      </c>
      <c r="G139" s="38">
        <v>82</v>
      </c>
    </row>
    <row r="140" spans="1:7" x14ac:dyDescent="0.25">
      <c r="A140" s="11" t="s">
        <v>14</v>
      </c>
      <c r="B140" s="13">
        <v>0.240317748</v>
      </c>
      <c r="C140" s="20">
        <v>0.32077914798206297</v>
      </c>
      <c r="D140" s="25">
        <v>0.24</v>
      </c>
      <c r="E140" s="30">
        <v>0.32</v>
      </c>
      <c r="F140" s="30">
        <v>1325</v>
      </c>
      <c r="G140" s="38">
        <v>2000</v>
      </c>
    </row>
    <row r="141" spans="1:7" x14ac:dyDescent="0.25">
      <c r="A141" s="11" t="s">
        <v>15</v>
      </c>
      <c r="B141" s="13">
        <v>0.56053992399999997</v>
      </c>
      <c r="C141" s="20">
        <v>0.73401066350710797</v>
      </c>
      <c r="D141" s="25">
        <v>0.48</v>
      </c>
      <c r="E141" s="30">
        <v>0.64</v>
      </c>
      <c r="F141" s="30">
        <v>2650</v>
      </c>
      <c r="G141" s="38">
        <v>4000</v>
      </c>
    </row>
    <row r="142" spans="1:7" x14ac:dyDescent="0.25">
      <c r="A142" s="11" t="s">
        <v>16</v>
      </c>
      <c r="B142" s="13">
        <v>1.119129032</v>
      </c>
      <c r="C142" s="20">
        <v>1.46670636792453</v>
      </c>
      <c r="D142" s="25">
        <v>0.96</v>
      </c>
      <c r="E142" s="30">
        <v>1.28</v>
      </c>
      <c r="F142" s="30">
        <v>5300</v>
      </c>
      <c r="G142" s="38">
        <v>8000</v>
      </c>
    </row>
    <row r="143" spans="1:7" x14ac:dyDescent="0.25">
      <c r="A143" s="11" t="s">
        <v>17</v>
      </c>
      <c r="B143" s="13">
        <v>8.0018164000000003E-2</v>
      </c>
      <c r="C143" s="20">
        <v>0.16709420289855101</v>
      </c>
      <c r="D143" s="25">
        <v>0.08</v>
      </c>
      <c r="E143" s="30">
        <v>0.14499999999999999</v>
      </c>
      <c r="F143" s="30">
        <v>455</v>
      </c>
      <c r="G143" s="38">
        <v>700</v>
      </c>
    </row>
    <row r="144" spans="1:7" x14ac:dyDescent="0.25">
      <c r="A144" s="11" t="s">
        <v>18</v>
      </c>
      <c r="B144" s="13">
        <v>0.32088727299999997</v>
      </c>
      <c r="C144" s="20">
        <v>0.66761739130434705</v>
      </c>
      <c r="D144" s="25">
        <v>0.32</v>
      </c>
      <c r="E144" s="30">
        <v>0.57999999999999996</v>
      </c>
      <c r="F144" s="30">
        <v>1820</v>
      </c>
      <c r="G144" s="38">
        <v>2800</v>
      </c>
    </row>
    <row r="145" spans="1:7" ht="15.75" thickBot="1" x14ac:dyDescent="0.3">
      <c r="A145" s="14" t="s">
        <v>19</v>
      </c>
      <c r="B145" s="15" t="s">
        <v>20</v>
      </c>
      <c r="C145" s="21" t="s">
        <v>20</v>
      </c>
      <c r="D145" s="15" t="s">
        <v>20</v>
      </c>
      <c r="E145" s="31" t="s">
        <v>20</v>
      </c>
      <c r="F145" s="31" t="s">
        <v>20</v>
      </c>
      <c r="G145" s="21" t="s">
        <v>20</v>
      </c>
    </row>
    <row r="146" spans="1:7" ht="15.75" thickBot="1" x14ac:dyDescent="0.3"/>
    <row r="147" spans="1:7" x14ac:dyDescent="0.25">
      <c r="A147" s="2" t="s">
        <v>46</v>
      </c>
      <c r="B147" s="3" t="s">
        <v>47</v>
      </c>
      <c r="C147" s="32" t="s">
        <v>47</v>
      </c>
      <c r="D147" s="33" t="s">
        <v>47</v>
      </c>
      <c r="E147" s="47" t="s">
        <v>47</v>
      </c>
      <c r="F147" s="32" t="s">
        <v>47</v>
      </c>
      <c r="G147" s="33" t="s">
        <v>47</v>
      </c>
    </row>
    <row r="148" spans="1:7" x14ac:dyDescent="0.25">
      <c r="A148" s="4" t="s">
        <v>6</v>
      </c>
      <c r="B148" s="5" t="s">
        <v>7</v>
      </c>
      <c r="C148" s="34" t="s">
        <v>7</v>
      </c>
      <c r="D148" s="16" t="s">
        <v>7</v>
      </c>
      <c r="E148" s="48" t="s">
        <v>21</v>
      </c>
      <c r="F148" s="34" t="s">
        <v>21</v>
      </c>
      <c r="G148" s="16" t="s">
        <v>21</v>
      </c>
    </row>
    <row r="149" spans="1:7" ht="15.75" thickBot="1" x14ac:dyDescent="0.3">
      <c r="A149" s="6" t="s">
        <v>48</v>
      </c>
      <c r="B149" s="7" t="s">
        <v>49</v>
      </c>
      <c r="C149" s="35" t="s">
        <v>50</v>
      </c>
      <c r="D149" s="17" t="s">
        <v>51</v>
      </c>
      <c r="E149" s="49" t="s">
        <v>49</v>
      </c>
      <c r="F149" s="35" t="s">
        <v>50</v>
      </c>
      <c r="G149" s="17" t="s">
        <v>51</v>
      </c>
    </row>
    <row r="150" spans="1:7" x14ac:dyDescent="0.25">
      <c r="A150" s="50" t="s">
        <v>10</v>
      </c>
      <c r="B150" s="10">
        <f t="shared" ref="B150:B158" si="36">F136/(B136-D136)</f>
        <v>9100000.0000010021</v>
      </c>
      <c r="C150" s="51">
        <f>B150/24</f>
        <v>379166.66666670842</v>
      </c>
      <c r="D150" s="18">
        <f>(C150/365)*100</f>
        <v>103881.27853882422</v>
      </c>
      <c r="E150" s="52">
        <f t="shared" ref="E150:E158" si="37">F136/(C136-E136)</f>
        <v>32253.37775309986</v>
      </c>
      <c r="F150" s="28">
        <f>E150/24</f>
        <v>1343.8907397124942</v>
      </c>
      <c r="G150" s="44">
        <f>(F150/365)*100</f>
        <v>368.18924375684776</v>
      </c>
    </row>
    <row r="151" spans="1:7" x14ac:dyDescent="0.25">
      <c r="A151" s="53" t="s">
        <v>11</v>
      </c>
      <c r="B151" s="13">
        <f t="shared" si="36"/>
        <v>956737.58790685248</v>
      </c>
      <c r="C151" s="51">
        <f t="shared" ref="C151:C158" si="38">B151/24</f>
        <v>39864.066162785522</v>
      </c>
      <c r="D151" s="18">
        <f t="shared" ref="D151:D158" si="39">(C151/365)*100</f>
        <v>10921.661962406992</v>
      </c>
      <c r="E151" s="54">
        <f t="shared" si="37"/>
        <v>33884.275381731321</v>
      </c>
      <c r="F151" s="28">
        <f t="shared" ref="F151:F158" si="40">E151/24</f>
        <v>1411.8448075721383</v>
      </c>
      <c r="G151" s="44">
        <f t="shared" ref="G151:G158" si="41">(F151/365)*100</f>
        <v>386.80679659510639</v>
      </c>
    </row>
    <row r="152" spans="1:7" x14ac:dyDescent="0.25">
      <c r="A152" s="53" t="s">
        <v>12</v>
      </c>
      <c r="B152" s="13">
        <f t="shared" si="36"/>
        <v>2051228.8776961197</v>
      </c>
      <c r="C152" s="51">
        <f t="shared" si="38"/>
        <v>85467.869904004983</v>
      </c>
      <c r="D152" s="18">
        <f t="shared" si="39"/>
        <v>23415.854768220543</v>
      </c>
      <c r="E152" s="54">
        <f t="shared" si="37"/>
        <v>33949.008498583629</v>
      </c>
      <c r="F152" s="28">
        <f t="shared" si="40"/>
        <v>1414.542020774318</v>
      </c>
      <c r="G152" s="44">
        <f t="shared" si="41"/>
        <v>387.54575911625147</v>
      </c>
    </row>
    <row r="153" spans="1:7" x14ac:dyDescent="0.25">
      <c r="A153" s="53" t="s">
        <v>13</v>
      </c>
      <c r="B153" s="13" t="s">
        <v>20</v>
      </c>
      <c r="C153" s="51" t="s">
        <v>20</v>
      </c>
      <c r="D153" s="18" t="s">
        <v>20</v>
      </c>
      <c r="E153" s="55" t="s">
        <v>20</v>
      </c>
      <c r="F153" s="51" t="s">
        <v>20</v>
      </c>
      <c r="G153" s="18" t="s">
        <v>20</v>
      </c>
    </row>
    <row r="154" spans="1:7" x14ac:dyDescent="0.25">
      <c r="A154" s="53" t="s">
        <v>14</v>
      </c>
      <c r="B154" s="13">
        <f t="shared" si="36"/>
        <v>4169971.1721237348</v>
      </c>
      <c r="C154" s="51">
        <f t="shared" si="38"/>
        <v>173748.79883848896</v>
      </c>
      <c r="D154" s="18">
        <f t="shared" si="39"/>
        <v>47602.410640681905</v>
      </c>
      <c r="E154" s="54">
        <f t="shared" si="37"/>
        <v>1700575.5395679388</v>
      </c>
      <c r="F154" s="28">
        <f t="shared" si="40"/>
        <v>70857.314148664111</v>
      </c>
      <c r="G154" s="44">
        <f t="shared" si="41"/>
        <v>19412.96278045592</v>
      </c>
    </row>
    <row r="155" spans="1:7" x14ac:dyDescent="0.25">
      <c r="A155" s="53" t="s">
        <v>15</v>
      </c>
      <c r="B155" s="13">
        <f t="shared" si="36"/>
        <v>32902.936436840944</v>
      </c>
      <c r="C155" s="51">
        <f t="shared" si="38"/>
        <v>1370.9556848683726</v>
      </c>
      <c r="D155" s="18">
        <f t="shared" si="39"/>
        <v>375.60429722421168</v>
      </c>
      <c r="E155" s="54">
        <f t="shared" si="37"/>
        <v>28188.291637784674</v>
      </c>
      <c r="F155" s="28">
        <f t="shared" si="40"/>
        <v>1174.5121515743615</v>
      </c>
      <c r="G155" s="44">
        <f t="shared" si="41"/>
        <v>321.78415111626344</v>
      </c>
    </row>
    <row r="156" spans="1:7" x14ac:dyDescent="0.25">
      <c r="A156" s="53" t="s">
        <v>16</v>
      </c>
      <c r="B156" s="13">
        <f t="shared" si="36"/>
        <v>33306.304534046292</v>
      </c>
      <c r="C156" s="51">
        <f t="shared" si="38"/>
        <v>1387.7626889185956</v>
      </c>
      <c r="D156" s="18">
        <f t="shared" si="39"/>
        <v>380.20895586810838</v>
      </c>
      <c r="E156" s="54">
        <f t="shared" si="37"/>
        <v>28386.819683313392</v>
      </c>
      <c r="F156" s="28">
        <f t="shared" si="40"/>
        <v>1182.7841534713914</v>
      </c>
      <c r="G156" s="44">
        <f t="shared" si="41"/>
        <v>324.05045300586062</v>
      </c>
    </row>
    <row r="157" spans="1:7" x14ac:dyDescent="0.25">
      <c r="A157" s="53" t="s">
        <v>17</v>
      </c>
      <c r="B157" s="13">
        <f t="shared" si="36"/>
        <v>25049548.55758496</v>
      </c>
      <c r="C157" s="51">
        <f t="shared" si="38"/>
        <v>1043731.1898993733</v>
      </c>
      <c r="D157" s="18">
        <f t="shared" si="39"/>
        <v>285953.75065736257</v>
      </c>
      <c r="E157" s="54">
        <f t="shared" si="37"/>
        <v>20593.637258117142</v>
      </c>
      <c r="F157" s="28">
        <f t="shared" si="40"/>
        <v>858.06821908821428</v>
      </c>
      <c r="G157" s="44">
        <f t="shared" si="41"/>
        <v>235.08718331183954</v>
      </c>
    </row>
    <row r="158" spans="1:7" x14ac:dyDescent="0.25">
      <c r="A158" s="53" t="s">
        <v>18</v>
      </c>
      <c r="B158" s="13">
        <f t="shared" si="36"/>
        <v>2051228.8776961197</v>
      </c>
      <c r="C158" s="51">
        <f t="shared" si="38"/>
        <v>85467.869904004983</v>
      </c>
      <c r="D158" s="18">
        <f t="shared" si="39"/>
        <v>23415.854768220543</v>
      </c>
      <c r="E158" s="54">
        <f t="shared" si="37"/>
        <v>20772.131798332844</v>
      </c>
      <c r="F158" s="28">
        <f t="shared" si="40"/>
        <v>865.50549159720185</v>
      </c>
      <c r="G158" s="44">
        <f t="shared" si="41"/>
        <v>237.12479221841147</v>
      </c>
    </row>
    <row r="159" spans="1:7" ht="15.75" thickBot="1" x14ac:dyDescent="0.3">
      <c r="A159" s="56" t="s">
        <v>19</v>
      </c>
      <c r="B159" s="13" t="s">
        <v>20</v>
      </c>
      <c r="C159" s="51" t="s">
        <v>20</v>
      </c>
      <c r="D159" s="18" t="s">
        <v>20</v>
      </c>
      <c r="E159" s="59" t="s">
        <v>20</v>
      </c>
      <c r="F159" s="31" t="s">
        <v>20</v>
      </c>
      <c r="G159" s="21" t="s">
        <v>20</v>
      </c>
    </row>
    <row r="160" spans="1:7" x14ac:dyDescent="0.25">
      <c r="A160" s="2" t="s">
        <v>46</v>
      </c>
      <c r="B160" s="3" t="s">
        <v>52</v>
      </c>
      <c r="C160" s="3" t="s">
        <v>52</v>
      </c>
      <c r="D160" s="8" t="s">
        <v>52</v>
      </c>
      <c r="E160" s="47" t="s">
        <v>52</v>
      </c>
      <c r="F160" s="3" t="s">
        <v>52</v>
      </c>
      <c r="G160" s="3" t="s">
        <v>52</v>
      </c>
    </row>
    <row r="161" spans="1:7" x14ac:dyDescent="0.25">
      <c r="A161" s="4" t="s">
        <v>6</v>
      </c>
      <c r="B161" s="5" t="s">
        <v>7</v>
      </c>
      <c r="C161" s="34" t="s">
        <v>7</v>
      </c>
      <c r="D161" s="16" t="s">
        <v>7</v>
      </c>
      <c r="E161" s="48" t="s">
        <v>21</v>
      </c>
      <c r="F161" s="34" t="s">
        <v>21</v>
      </c>
      <c r="G161" s="16" t="s">
        <v>21</v>
      </c>
    </row>
    <row r="162" spans="1:7" ht="15.75" thickBot="1" x14ac:dyDescent="0.3">
      <c r="A162" s="6" t="s">
        <v>48</v>
      </c>
      <c r="B162" s="7" t="s">
        <v>49</v>
      </c>
      <c r="C162" s="35" t="s">
        <v>50</v>
      </c>
      <c r="D162" s="17" t="s">
        <v>51</v>
      </c>
      <c r="E162" s="49" t="s">
        <v>49</v>
      </c>
      <c r="F162" s="35" t="s">
        <v>50</v>
      </c>
      <c r="G162" s="17" t="s">
        <v>51</v>
      </c>
    </row>
    <row r="163" spans="1:7" x14ac:dyDescent="0.25">
      <c r="A163" s="50" t="s">
        <v>10</v>
      </c>
      <c r="B163" s="10">
        <f t="shared" ref="B163:B171" si="42">G136/(B136-D136)</f>
        <v>14000000.000001542</v>
      </c>
      <c r="C163" s="51">
        <f>B163/24</f>
        <v>583333.33333339763</v>
      </c>
      <c r="D163" s="18">
        <f>(C163/1095)*100</f>
        <v>53272.450532730378</v>
      </c>
      <c r="E163" s="52">
        <f t="shared" ref="E163:E171" si="43">G136/(C136-E136)</f>
        <v>49620.581158615169</v>
      </c>
      <c r="F163" s="28">
        <f>E163/24</f>
        <v>2067.5242149422988</v>
      </c>
      <c r="G163" s="44">
        <f>(F163/1095)*100</f>
        <v>188.81499679838345</v>
      </c>
    </row>
    <row r="164" spans="1:7" x14ac:dyDescent="0.25">
      <c r="A164" s="53" t="s">
        <v>11</v>
      </c>
      <c r="B164" s="10">
        <f t="shared" si="42"/>
        <v>1471903.9813951578</v>
      </c>
      <c r="C164" s="51">
        <f t="shared" ref="C164:C171" si="44">B164/24</f>
        <v>61329.332558131573</v>
      </c>
      <c r="D164" s="18">
        <f t="shared" ref="D164:D171" si="45">(C164/1095)*100</f>
        <v>5600.852288413842</v>
      </c>
      <c r="E164" s="52">
        <f t="shared" si="43"/>
        <v>52129.654433432806</v>
      </c>
      <c r="F164" s="28">
        <f t="shared" ref="F164:F171" si="46">E164/24</f>
        <v>2172.0689347263669</v>
      </c>
      <c r="G164" s="44">
        <f t="shared" ref="G164:G171" si="47">(F164/1095)*100</f>
        <v>198.36245979236227</v>
      </c>
    </row>
    <row r="165" spans="1:7" x14ac:dyDescent="0.25">
      <c r="A165" s="53" t="s">
        <v>12</v>
      </c>
      <c r="B165" s="10">
        <f t="shared" si="42"/>
        <v>3155736.7349171075</v>
      </c>
      <c r="C165" s="51">
        <f t="shared" si="44"/>
        <v>131489.03062154615</v>
      </c>
      <c r="D165" s="18">
        <f t="shared" si="45"/>
        <v>12008.130650369512</v>
      </c>
      <c r="E165" s="52">
        <f t="shared" si="43"/>
        <v>52229.243843974815</v>
      </c>
      <c r="F165" s="28">
        <f t="shared" si="46"/>
        <v>2176.2184934989505</v>
      </c>
      <c r="G165" s="44">
        <f t="shared" si="47"/>
        <v>198.74141493141099</v>
      </c>
    </row>
    <row r="166" spans="1:7" x14ac:dyDescent="0.25">
      <c r="A166" s="53" t="s">
        <v>13</v>
      </c>
      <c r="B166" s="13" t="s">
        <v>20</v>
      </c>
      <c r="C166" s="51" t="s">
        <v>20</v>
      </c>
      <c r="D166" s="18" t="s">
        <v>20</v>
      </c>
      <c r="E166" s="55" t="s">
        <v>20</v>
      </c>
      <c r="F166" s="51" t="s">
        <v>20</v>
      </c>
      <c r="G166" s="18" t="s">
        <v>20</v>
      </c>
    </row>
    <row r="167" spans="1:7" x14ac:dyDescent="0.25">
      <c r="A167" s="53" t="s">
        <v>14</v>
      </c>
      <c r="B167" s="10">
        <f t="shared" si="42"/>
        <v>6294296.1088660154</v>
      </c>
      <c r="C167" s="51">
        <f t="shared" si="44"/>
        <v>262262.33786941733</v>
      </c>
      <c r="D167" s="18">
        <f t="shared" si="45"/>
        <v>23950.898435563227</v>
      </c>
      <c r="E167" s="52">
        <f t="shared" si="43"/>
        <v>2566906.4748195303</v>
      </c>
      <c r="F167" s="28">
        <f t="shared" si="46"/>
        <v>106954.43645081377</v>
      </c>
      <c r="G167" s="44">
        <f t="shared" si="47"/>
        <v>9767.5284429966905</v>
      </c>
    </row>
    <row r="168" spans="1:7" x14ac:dyDescent="0.25">
      <c r="A168" s="53" t="s">
        <v>15</v>
      </c>
      <c r="B168" s="10">
        <f t="shared" si="42"/>
        <v>49664.809715986332</v>
      </c>
      <c r="C168" s="51">
        <f t="shared" si="44"/>
        <v>2069.3670714994305</v>
      </c>
      <c r="D168" s="18">
        <f t="shared" si="45"/>
        <v>188.98329420086125</v>
      </c>
      <c r="E168" s="52">
        <f t="shared" si="43"/>
        <v>42548.364736278752</v>
      </c>
      <c r="F168" s="28">
        <f t="shared" si="46"/>
        <v>1772.8485306782813</v>
      </c>
      <c r="G168" s="44">
        <f t="shared" si="47"/>
        <v>161.90397540440927</v>
      </c>
    </row>
    <row r="169" spans="1:7" x14ac:dyDescent="0.25">
      <c r="A169" s="53" t="s">
        <v>16</v>
      </c>
      <c r="B169" s="10">
        <f t="shared" si="42"/>
        <v>50273.667221201955</v>
      </c>
      <c r="C169" s="51">
        <f t="shared" si="44"/>
        <v>2094.7361342167483</v>
      </c>
      <c r="D169" s="18">
        <f t="shared" si="45"/>
        <v>191.30010358143821</v>
      </c>
      <c r="E169" s="52">
        <f t="shared" si="43"/>
        <v>42848.029710661722</v>
      </c>
      <c r="F169" s="28">
        <f t="shared" si="46"/>
        <v>1785.3345712775717</v>
      </c>
      <c r="G169" s="44">
        <f t="shared" si="47"/>
        <v>163.04425308470977</v>
      </c>
    </row>
    <row r="170" spans="1:7" x14ac:dyDescent="0.25">
      <c r="A170" s="53" t="s">
        <v>17</v>
      </c>
      <c r="B170" s="10">
        <f t="shared" si="42"/>
        <v>38537767.011669174</v>
      </c>
      <c r="C170" s="51">
        <f t="shared" si="44"/>
        <v>1605740.2921528823</v>
      </c>
      <c r="D170" s="18">
        <f t="shared" si="45"/>
        <v>146642.94905505775</v>
      </c>
      <c r="E170" s="52">
        <f t="shared" si="43"/>
        <v>31682.518858641757</v>
      </c>
      <c r="F170" s="28">
        <f t="shared" si="46"/>
        <v>1320.1049524434065</v>
      </c>
      <c r="G170" s="44">
        <f t="shared" si="47"/>
        <v>120.55752990350746</v>
      </c>
    </row>
    <row r="171" spans="1:7" x14ac:dyDescent="0.25">
      <c r="A171" s="53" t="s">
        <v>18</v>
      </c>
      <c r="B171" s="10">
        <f t="shared" si="42"/>
        <v>3155736.7349171075</v>
      </c>
      <c r="C171" s="51">
        <f t="shared" si="44"/>
        <v>131489.03062154615</v>
      </c>
      <c r="D171" s="18">
        <f t="shared" si="45"/>
        <v>12008.130650369512</v>
      </c>
      <c r="E171" s="52">
        <f t="shared" si="43"/>
        <v>31957.125843588994</v>
      </c>
      <c r="F171" s="28">
        <f t="shared" si="46"/>
        <v>1331.5469101495414</v>
      </c>
      <c r="G171" s="44">
        <f t="shared" si="47"/>
        <v>121.60245754790333</v>
      </c>
    </row>
    <row r="172" spans="1:7" ht="15.75" thickBot="1" x14ac:dyDescent="0.3">
      <c r="A172" s="56" t="s">
        <v>19</v>
      </c>
      <c r="B172" s="13" t="s">
        <v>20</v>
      </c>
      <c r="C172" s="51" t="s">
        <v>20</v>
      </c>
      <c r="D172" s="18" t="s">
        <v>20</v>
      </c>
      <c r="E172" s="59" t="s">
        <v>20</v>
      </c>
      <c r="F172" s="31" t="s">
        <v>20</v>
      </c>
      <c r="G172" s="21" t="s">
        <v>20</v>
      </c>
    </row>
  </sheetData>
  <pageMargins left="0.7" right="0.7" top="0.75" bottom="0.75" header="0.3" footer="0.3"/>
  <pageSetup orientation="portrait" r:id="rId1"/>
  <customProperties>
    <customPr name="DVSECTION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M42"/>
  <sheetViews>
    <sheetView topLeftCell="A19" workbookViewId="0">
      <selection activeCell="H46" sqref="H46"/>
    </sheetView>
  </sheetViews>
  <sheetFormatPr defaultRowHeight="15" x14ac:dyDescent="0.25"/>
  <cols>
    <col min="1" max="1" width="38.140625" bestFit="1" customWidth="1"/>
    <col min="2" max="2" width="12.42578125" bestFit="1" customWidth="1"/>
    <col min="3" max="3" width="11.7109375" bestFit="1" customWidth="1"/>
    <col min="4" max="5" width="12.42578125" bestFit="1" customWidth="1"/>
    <col min="6" max="7" width="11" bestFit="1" customWidth="1"/>
    <col min="8" max="10" width="12.42578125" bestFit="1" customWidth="1"/>
    <col min="11" max="13" width="11" bestFit="1" customWidth="1"/>
  </cols>
  <sheetData>
    <row r="2" spans="1:7" ht="18.75" x14ac:dyDescent="0.3">
      <c r="A2" s="1" t="s">
        <v>65</v>
      </c>
      <c r="B2" s="40"/>
    </row>
    <row r="3" spans="1:7" ht="15.75" thickBot="1" x14ac:dyDescent="0.3"/>
    <row r="4" spans="1:7" x14ac:dyDescent="0.25">
      <c r="A4" s="41" t="s">
        <v>41</v>
      </c>
      <c r="B4" s="3" t="s">
        <v>54</v>
      </c>
      <c r="C4" s="33" t="s">
        <v>54</v>
      </c>
      <c r="D4" s="3" t="s">
        <v>43</v>
      </c>
      <c r="E4" s="32" t="s">
        <v>43</v>
      </c>
      <c r="F4" s="32" t="s">
        <v>43</v>
      </c>
      <c r="G4" s="33" t="s">
        <v>43</v>
      </c>
    </row>
    <row r="5" spans="1:7" x14ac:dyDescent="0.25">
      <c r="A5" s="42" t="s">
        <v>6</v>
      </c>
      <c r="B5" s="5" t="s">
        <v>7</v>
      </c>
      <c r="C5" s="16" t="s">
        <v>21</v>
      </c>
      <c r="D5" s="5" t="s">
        <v>7</v>
      </c>
      <c r="E5" s="34" t="s">
        <v>21</v>
      </c>
      <c r="F5" s="34"/>
      <c r="G5" s="16"/>
    </row>
    <row r="6" spans="1:7" ht="15.75" thickBot="1" x14ac:dyDescent="0.3">
      <c r="A6" s="43" t="s">
        <v>8</v>
      </c>
      <c r="B6" s="7" t="s">
        <v>9</v>
      </c>
      <c r="C6" s="17" t="s">
        <v>9</v>
      </c>
      <c r="D6" s="7" t="s">
        <v>9</v>
      </c>
      <c r="E6" s="35" t="s">
        <v>9</v>
      </c>
      <c r="F6" s="35" t="s">
        <v>44</v>
      </c>
      <c r="G6" s="17" t="s">
        <v>45</v>
      </c>
    </row>
    <row r="7" spans="1:7" x14ac:dyDescent="0.25">
      <c r="A7" s="8" t="s">
        <v>10</v>
      </c>
      <c r="B7" s="10">
        <v>8.5000000000000006E-2</v>
      </c>
      <c r="C7" s="18">
        <v>0.12</v>
      </c>
      <c r="D7" s="23">
        <v>0.03</v>
      </c>
      <c r="E7" s="28">
        <v>0.05</v>
      </c>
      <c r="F7" s="28">
        <v>227.5</v>
      </c>
      <c r="G7" s="44">
        <v>350</v>
      </c>
    </row>
    <row r="8" spans="1:7" x14ac:dyDescent="0.25">
      <c r="A8" s="11" t="s">
        <v>11</v>
      </c>
      <c r="B8" s="13">
        <v>0.34</v>
      </c>
      <c r="C8" s="20">
        <v>0.48</v>
      </c>
      <c r="D8" s="25">
        <v>0.12</v>
      </c>
      <c r="E8" s="30">
        <v>0.2</v>
      </c>
      <c r="F8" s="45">
        <v>910</v>
      </c>
      <c r="G8" s="46">
        <v>1400</v>
      </c>
    </row>
    <row r="9" spans="1:7" x14ac:dyDescent="0.25">
      <c r="A9" s="11" t="s">
        <v>12</v>
      </c>
      <c r="B9" s="13">
        <v>0.68</v>
      </c>
      <c r="C9" s="20">
        <v>0.96</v>
      </c>
      <c r="D9" s="25">
        <v>0.24</v>
      </c>
      <c r="E9" s="30">
        <v>0.4</v>
      </c>
      <c r="F9" s="30">
        <v>1820</v>
      </c>
      <c r="G9" s="38">
        <v>2800</v>
      </c>
    </row>
    <row r="10" spans="1:7" x14ac:dyDescent="0.25">
      <c r="A10" s="11" t="s">
        <v>13</v>
      </c>
      <c r="B10" s="13">
        <v>0.02</v>
      </c>
      <c r="C10" s="20">
        <v>0.03</v>
      </c>
      <c r="D10" s="25">
        <v>6.9999999999999999E-4</v>
      </c>
      <c r="E10" s="30">
        <v>1.2999999999999999E-2</v>
      </c>
      <c r="F10" s="30">
        <v>54</v>
      </c>
      <c r="G10" s="38">
        <v>82</v>
      </c>
    </row>
    <row r="11" spans="1:7" x14ac:dyDescent="0.25">
      <c r="A11" s="11" t="s">
        <v>14</v>
      </c>
      <c r="B11" s="13">
        <v>0.5</v>
      </c>
      <c r="C11" s="20">
        <v>0.62</v>
      </c>
      <c r="D11" s="25">
        <v>0.17</v>
      </c>
      <c r="E11" s="30">
        <v>0.24</v>
      </c>
      <c r="F11" s="30">
        <v>1325</v>
      </c>
      <c r="G11" s="38">
        <v>2000</v>
      </c>
    </row>
    <row r="12" spans="1:7" x14ac:dyDescent="0.25">
      <c r="A12" s="11" t="s">
        <v>15</v>
      </c>
      <c r="B12" s="13">
        <v>1</v>
      </c>
      <c r="C12" s="20">
        <v>1.24</v>
      </c>
      <c r="D12" s="25">
        <v>0.34</v>
      </c>
      <c r="E12" s="30">
        <v>0.48</v>
      </c>
      <c r="F12" s="30">
        <v>2650</v>
      </c>
      <c r="G12" s="38">
        <v>4000</v>
      </c>
    </row>
    <row r="13" spans="1:7" x14ac:dyDescent="0.25">
      <c r="A13" s="11" t="s">
        <v>16</v>
      </c>
      <c r="B13" s="13">
        <v>2</v>
      </c>
      <c r="C13" s="20">
        <v>2.48</v>
      </c>
      <c r="D13" s="25">
        <v>0.68</v>
      </c>
      <c r="E13" s="30">
        <v>0.96</v>
      </c>
      <c r="F13" s="30">
        <v>5300</v>
      </c>
      <c r="G13" s="38">
        <v>8000</v>
      </c>
    </row>
    <row r="14" spans="1:7" x14ac:dyDescent="0.25">
      <c r="A14" s="11" t="s">
        <v>17</v>
      </c>
      <c r="B14" s="13">
        <v>0.17</v>
      </c>
      <c r="C14" s="20">
        <v>0.28999999999999998</v>
      </c>
      <c r="D14" s="25">
        <v>0.06</v>
      </c>
      <c r="E14" s="30">
        <v>0.125</v>
      </c>
      <c r="F14" s="30">
        <v>455</v>
      </c>
      <c r="G14" s="38">
        <v>700</v>
      </c>
    </row>
    <row r="15" spans="1:7" x14ac:dyDescent="0.25">
      <c r="A15" s="11" t="s">
        <v>18</v>
      </c>
      <c r="B15" s="13">
        <v>0.68</v>
      </c>
      <c r="C15" s="20">
        <v>1.1599999999999999</v>
      </c>
      <c r="D15" s="25">
        <v>0.24</v>
      </c>
      <c r="E15" s="30">
        <v>0.5</v>
      </c>
      <c r="F15" s="30">
        <v>1820</v>
      </c>
      <c r="G15" s="38">
        <v>2800</v>
      </c>
    </row>
    <row r="16" spans="1:7" ht="15.75" thickBot="1" x14ac:dyDescent="0.3">
      <c r="A16" s="14" t="s">
        <v>19</v>
      </c>
      <c r="B16" s="15">
        <v>1.6</v>
      </c>
      <c r="C16" s="21" t="s">
        <v>20</v>
      </c>
      <c r="D16" s="26">
        <v>0.56000000000000005</v>
      </c>
      <c r="E16" s="31" t="s">
        <v>20</v>
      </c>
      <c r="F16" s="37">
        <v>4290</v>
      </c>
      <c r="G16" s="39">
        <v>6590</v>
      </c>
    </row>
    <row r="18" spans="1:13" ht="18.75" x14ac:dyDescent="0.3">
      <c r="A18" s="1" t="s">
        <v>66</v>
      </c>
    </row>
    <row r="20" spans="1:13" x14ac:dyDescent="0.25">
      <c r="A20" s="67" t="s">
        <v>67</v>
      </c>
      <c r="B20" s="68" t="s">
        <v>68</v>
      </c>
      <c r="D20" t="s">
        <v>69</v>
      </c>
    </row>
    <row r="21" spans="1:13" x14ac:dyDescent="0.25">
      <c r="B21" s="68" t="s">
        <v>70</v>
      </c>
      <c r="D21" t="s">
        <v>71</v>
      </c>
    </row>
    <row r="22" spans="1:13" x14ac:dyDescent="0.25">
      <c r="D22" t="s">
        <v>72</v>
      </c>
    </row>
    <row r="23" spans="1:13" x14ac:dyDescent="0.25">
      <c r="D23" t="s">
        <v>73</v>
      </c>
    </row>
    <row r="24" spans="1:13" x14ac:dyDescent="0.25">
      <c r="D24" t="s">
        <v>74</v>
      </c>
    </row>
    <row r="25" spans="1:13" ht="15.75" thickBot="1" x14ac:dyDescent="0.3"/>
    <row r="26" spans="1:13" x14ac:dyDescent="0.25">
      <c r="A26" s="2" t="s">
        <v>46</v>
      </c>
      <c r="B26" s="3" t="s">
        <v>47</v>
      </c>
      <c r="C26" s="32" t="s">
        <v>47</v>
      </c>
      <c r="D26" s="33" t="s">
        <v>47</v>
      </c>
      <c r="E26" s="47" t="s">
        <v>47</v>
      </c>
      <c r="F26" s="32" t="s">
        <v>47</v>
      </c>
      <c r="G26" s="33" t="s">
        <v>47</v>
      </c>
      <c r="H26" s="3" t="s">
        <v>52</v>
      </c>
      <c r="I26" s="3" t="s">
        <v>52</v>
      </c>
      <c r="J26" s="8" t="s">
        <v>52</v>
      </c>
      <c r="K26" s="47" t="s">
        <v>52</v>
      </c>
      <c r="L26" s="3" t="s">
        <v>52</v>
      </c>
      <c r="M26" s="3" t="s">
        <v>52</v>
      </c>
    </row>
    <row r="27" spans="1:13" x14ac:dyDescent="0.25">
      <c r="A27" s="4" t="s">
        <v>6</v>
      </c>
      <c r="B27" s="5" t="s">
        <v>7</v>
      </c>
      <c r="C27" s="34" t="s">
        <v>7</v>
      </c>
      <c r="D27" s="16" t="s">
        <v>7</v>
      </c>
      <c r="E27" s="48" t="s">
        <v>21</v>
      </c>
      <c r="F27" s="34" t="s">
        <v>21</v>
      </c>
      <c r="G27" s="16" t="s">
        <v>21</v>
      </c>
      <c r="H27" s="5" t="s">
        <v>7</v>
      </c>
      <c r="I27" s="34" t="s">
        <v>7</v>
      </c>
      <c r="J27" s="16" t="s">
        <v>7</v>
      </c>
      <c r="K27" s="48" t="s">
        <v>21</v>
      </c>
      <c r="L27" s="34" t="s">
        <v>21</v>
      </c>
      <c r="M27" s="16" t="s">
        <v>21</v>
      </c>
    </row>
    <row r="28" spans="1:13" ht="15.75" thickBot="1" x14ac:dyDescent="0.3">
      <c r="A28" s="6" t="s">
        <v>48</v>
      </c>
      <c r="B28" s="7" t="s">
        <v>49</v>
      </c>
      <c r="C28" s="35" t="s">
        <v>50</v>
      </c>
      <c r="D28" s="17" t="s">
        <v>51</v>
      </c>
      <c r="E28" s="49" t="s">
        <v>49</v>
      </c>
      <c r="F28" s="35" t="s">
        <v>50</v>
      </c>
      <c r="G28" s="17" t="s">
        <v>51</v>
      </c>
      <c r="H28" s="7" t="s">
        <v>49</v>
      </c>
      <c r="I28" s="35" t="s">
        <v>50</v>
      </c>
      <c r="J28" s="17" t="s">
        <v>51</v>
      </c>
      <c r="K28" s="49" t="s">
        <v>49</v>
      </c>
      <c r="L28" s="35" t="s">
        <v>50</v>
      </c>
      <c r="M28" s="17" t="s">
        <v>51</v>
      </c>
    </row>
    <row r="29" spans="1:13" x14ac:dyDescent="0.25">
      <c r="A29" s="50" t="s">
        <v>10</v>
      </c>
      <c r="B29" s="10">
        <f t="shared" ref="B29:B38" si="0">F7/(B7-D7)</f>
        <v>4136.363636363636</v>
      </c>
      <c r="C29" s="51">
        <f>B29/24</f>
        <v>172.34848484848484</v>
      </c>
      <c r="D29" s="18">
        <f>(C29/365)*100</f>
        <v>47.218762972187626</v>
      </c>
      <c r="E29" s="52">
        <f t="shared" ref="E29:E37" si="1">F7/(C7-E7)</f>
        <v>3250.0000000000005</v>
      </c>
      <c r="F29" s="28">
        <f>E29/24</f>
        <v>135.41666666666669</v>
      </c>
      <c r="G29" s="44">
        <f>(F29/365)*100</f>
        <v>37.100456621004575</v>
      </c>
      <c r="H29" s="10">
        <f>G7/(B7-D7)</f>
        <v>6363.6363636363631</v>
      </c>
      <c r="I29" s="51">
        <f>H29/24</f>
        <v>265.15151515151513</v>
      </c>
      <c r="J29" s="18">
        <f>(I29/1095)*100</f>
        <v>24.214750242147502</v>
      </c>
      <c r="K29" s="52">
        <f>G7/(C7-E7)</f>
        <v>5000.0000000000009</v>
      </c>
      <c r="L29" s="28">
        <f>K29/24</f>
        <v>208.33333333333337</v>
      </c>
      <c r="M29" s="44">
        <f>(L29/1095)*100</f>
        <v>19.025875190258756</v>
      </c>
    </row>
    <row r="30" spans="1:13" x14ac:dyDescent="0.25">
      <c r="A30" s="53" t="s">
        <v>11</v>
      </c>
      <c r="B30" s="13">
        <f t="shared" si="0"/>
        <v>4136.363636363636</v>
      </c>
      <c r="C30" s="51">
        <f t="shared" ref="C30:C38" si="2">B30/24</f>
        <v>172.34848484848484</v>
      </c>
      <c r="D30" s="18">
        <f t="shared" ref="D30:D38" si="3">(C30/365)*100</f>
        <v>47.218762972187626</v>
      </c>
      <c r="E30" s="54">
        <f t="shared" si="1"/>
        <v>3250.0000000000005</v>
      </c>
      <c r="F30" s="28">
        <f t="shared" ref="F30:F37" si="4">E30/24</f>
        <v>135.41666666666669</v>
      </c>
      <c r="G30" s="44">
        <f t="shared" ref="G30:G37" si="5">(F30/365)*100</f>
        <v>37.100456621004575</v>
      </c>
      <c r="H30" s="10">
        <f t="shared" ref="H30:H38" si="6">G8/(B8-D8)</f>
        <v>6363.6363636363631</v>
      </c>
      <c r="I30" s="51">
        <f t="shared" ref="I30:I38" si="7">H30/24</f>
        <v>265.15151515151513</v>
      </c>
      <c r="J30" s="18">
        <f t="shared" ref="J30:J38" si="8">(I30/1095)*100</f>
        <v>24.214750242147502</v>
      </c>
      <c r="K30" s="52">
        <f t="shared" ref="K30:K37" si="9">G8/(C8-E8)</f>
        <v>5000.0000000000009</v>
      </c>
      <c r="L30" s="28">
        <f t="shared" ref="L30:L37" si="10">K30/24</f>
        <v>208.33333333333337</v>
      </c>
      <c r="M30" s="44">
        <f t="shared" ref="M30:M37" si="11">(L30/1095)*100</f>
        <v>19.025875190258756</v>
      </c>
    </row>
    <row r="31" spans="1:13" x14ac:dyDescent="0.25">
      <c r="A31" s="53" t="s">
        <v>12</v>
      </c>
      <c r="B31" s="13">
        <f t="shared" si="0"/>
        <v>4136.363636363636</v>
      </c>
      <c r="C31" s="51">
        <f t="shared" si="2"/>
        <v>172.34848484848484</v>
      </c>
      <c r="D31" s="18">
        <f t="shared" si="3"/>
        <v>47.218762972187626</v>
      </c>
      <c r="E31" s="54">
        <f t="shared" si="1"/>
        <v>3250.0000000000005</v>
      </c>
      <c r="F31" s="28">
        <f t="shared" si="4"/>
        <v>135.41666666666669</v>
      </c>
      <c r="G31" s="44">
        <f t="shared" si="5"/>
        <v>37.100456621004575</v>
      </c>
      <c r="H31" s="10">
        <f t="shared" si="6"/>
        <v>6363.6363636363631</v>
      </c>
      <c r="I31" s="51">
        <f t="shared" si="7"/>
        <v>265.15151515151513</v>
      </c>
      <c r="J31" s="18">
        <f t="shared" si="8"/>
        <v>24.214750242147502</v>
      </c>
      <c r="K31" s="52">
        <f t="shared" si="9"/>
        <v>5000.0000000000009</v>
      </c>
      <c r="L31" s="28">
        <f t="shared" si="10"/>
        <v>208.33333333333337</v>
      </c>
      <c r="M31" s="44">
        <f t="shared" si="11"/>
        <v>19.025875190258756</v>
      </c>
    </row>
    <row r="32" spans="1:13" x14ac:dyDescent="0.25">
      <c r="A32" s="53" t="s">
        <v>13</v>
      </c>
      <c r="B32" s="13">
        <f t="shared" si="0"/>
        <v>2797.9274611398964</v>
      </c>
      <c r="C32" s="51">
        <f t="shared" si="2"/>
        <v>116.58031088082902</v>
      </c>
      <c r="D32" s="18">
        <f t="shared" si="3"/>
        <v>31.93981120022713</v>
      </c>
      <c r="E32" s="54">
        <f t="shared" si="1"/>
        <v>3176.4705882352937</v>
      </c>
      <c r="F32" s="28">
        <f t="shared" si="4"/>
        <v>132.35294117647058</v>
      </c>
      <c r="G32" s="44">
        <f t="shared" si="5"/>
        <v>36.261079774375496</v>
      </c>
      <c r="H32" s="10">
        <f t="shared" si="6"/>
        <v>4248.7046632124348</v>
      </c>
      <c r="I32" s="51">
        <f t="shared" si="7"/>
        <v>177.02936096718477</v>
      </c>
      <c r="J32" s="18">
        <f t="shared" si="8"/>
        <v>16.167064928510026</v>
      </c>
      <c r="K32" s="52">
        <f t="shared" si="9"/>
        <v>4823.5294117647054</v>
      </c>
      <c r="L32" s="28">
        <f t="shared" si="10"/>
        <v>200.98039215686273</v>
      </c>
      <c r="M32" s="44">
        <f t="shared" si="11"/>
        <v>18.354373712955503</v>
      </c>
    </row>
    <row r="33" spans="1:13" x14ac:dyDescent="0.25">
      <c r="A33" s="53" t="s">
        <v>14</v>
      </c>
      <c r="B33" s="13">
        <f t="shared" si="0"/>
        <v>4015.1515151515155</v>
      </c>
      <c r="C33" s="51">
        <f t="shared" si="2"/>
        <v>167.29797979797982</v>
      </c>
      <c r="D33" s="18">
        <f t="shared" si="3"/>
        <v>45.835062958350633</v>
      </c>
      <c r="E33" s="54">
        <f t="shared" si="1"/>
        <v>3486.8421052631579</v>
      </c>
      <c r="F33" s="28">
        <f t="shared" si="4"/>
        <v>145.28508771929825</v>
      </c>
      <c r="G33" s="44">
        <f t="shared" si="5"/>
        <v>39.804133621725548</v>
      </c>
      <c r="H33" s="10">
        <f t="shared" si="6"/>
        <v>6060.606060606061</v>
      </c>
      <c r="I33" s="51">
        <f t="shared" si="7"/>
        <v>252.52525252525254</v>
      </c>
      <c r="J33" s="18">
        <f t="shared" si="8"/>
        <v>23.061666897283338</v>
      </c>
      <c r="K33" s="52">
        <f t="shared" si="9"/>
        <v>5263.1578947368416</v>
      </c>
      <c r="L33" s="28">
        <f t="shared" si="10"/>
        <v>219.29824561403507</v>
      </c>
      <c r="M33" s="44">
        <f t="shared" si="11"/>
        <v>20.027237042377632</v>
      </c>
    </row>
    <row r="34" spans="1:13" x14ac:dyDescent="0.25">
      <c r="A34" s="53" t="s">
        <v>15</v>
      </c>
      <c r="B34" s="13">
        <f t="shared" si="0"/>
        <v>4015.1515151515155</v>
      </c>
      <c r="C34" s="51">
        <f t="shared" si="2"/>
        <v>167.29797979797982</v>
      </c>
      <c r="D34" s="18">
        <f t="shared" si="3"/>
        <v>45.835062958350633</v>
      </c>
      <c r="E34" s="54">
        <f t="shared" si="1"/>
        <v>3486.8421052631579</v>
      </c>
      <c r="F34" s="28">
        <f t="shared" si="4"/>
        <v>145.28508771929825</v>
      </c>
      <c r="G34" s="44">
        <f t="shared" si="5"/>
        <v>39.804133621725548</v>
      </c>
      <c r="H34" s="10">
        <f t="shared" si="6"/>
        <v>6060.606060606061</v>
      </c>
      <c r="I34" s="51">
        <f t="shared" si="7"/>
        <v>252.52525252525254</v>
      </c>
      <c r="J34" s="18">
        <f t="shared" si="8"/>
        <v>23.061666897283338</v>
      </c>
      <c r="K34" s="52">
        <f t="shared" si="9"/>
        <v>5263.1578947368416</v>
      </c>
      <c r="L34" s="28">
        <f t="shared" si="10"/>
        <v>219.29824561403507</v>
      </c>
      <c r="M34" s="44">
        <f t="shared" si="11"/>
        <v>20.027237042377632</v>
      </c>
    </row>
    <row r="35" spans="1:13" x14ac:dyDescent="0.25">
      <c r="A35" s="53" t="s">
        <v>16</v>
      </c>
      <c r="B35" s="13">
        <f t="shared" si="0"/>
        <v>4015.1515151515155</v>
      </c>
      <c r="C35" s="51">
        <f t="shared" si="2"/>
        <v>167.29797979797982</v>
      </c>
      <c r="D35" s="18">
        <f t="shared" si="3"/>
        <v>45.835062958350633</v>
      </c>
      <c r="E35" s="54">
        <f t="shared" si="1"/>
        <v>3486.8421052631579</v>
      </c>
      <c r="F35" s="28">
        <f t="shared" si="4"/>
        <v>145.28508771929825</v>
      </c>
      <c r="G35" s="44">
        <f t="shared" si="5"/>
        <v>39.804133621725548</v>
      </c>
      <c r="H35" s="10">
        <f t="shared" si="6"/>
        <v>6060.606060606061</v>
      </c>
      <c r="I35" s="51">
        <f t="shared" si="7"/>
        <v>252.52525252525254</v>
      </c>
      <c r="J35" s="18">
        <f t="shared" si="8"/>
        <v>23.061666897283338</v>
      </c>
      <c r="K35" s="52">
        <f t="shared" si="9"/>
        <v>5263.1578947368416</v>
      </c>
      <c r="L35" s="28">
        <f t="shared" si="10"/>
        <v>219.29824561403507</v>
      </c>
      <c r="M35" s="44">
        <f t="shared" si="11"/>
        <v>20.027237042377632</v>
      </c>
    </row>
    <row r="36" spans="1:13" x14ac:dyDescent="0.25">
      <c r="A36" s="53" t="s">
        <v>17</v>
      </c>
      <c r="B36" s="13">
        <f t="shared" si="0"/>
        <v>4136.363636363636</v>
      </c>
      <c r="C36" s="51">
        <f t="shared" si="2"/>
        <v>172.34848484848484</v>
      </c>
      <c r="D36" s="18">
        <f t="shared" si="3"/>
        <v>47.218762972187626</v>
      </c>
      <c r="E36" s="54">
        <f t="shared" si="1"/>
        <v>2757.575757575758</v>
      </c>
      <c r="F36" s="28">
        <f t="shared" si="4"/>
        <v>114.89898989898991</v>
      </c>
      <c r="G36" s="44">
        <f t="shared" si="5"/>
        <v>31.479175314791757</v>
      </c>
      <c r="H36" s="10">
        <f t="shared" si="6"/>
        <v>6363.6363636363631</v>
      </c>
      <c r="I36" s="51">
        <f t="shared" si="7"/>
        <v>265.15151515151513</v>
      </c>
      <c r="J36" s="18">
        <f t="shared" si="8"/>
        <v>24.214750242147502</v>
      </c>
      <c r="K36" s="52">
        <f t="shared" si="9"/>
        <v>4242.4242424242429</v>
      </c>
      <c r="L36" s="28">
        <f t="shared" si="10"/>
        <v>176.76767676767679</v>
      </c>
      <c r="M36" s="44">
        <f t="shared" si="11"/>
        <v>16.143166828098337</v>
      </c>
    </row>
    <row r="37" spans="1:13" x14ac:dyDescent="0.25">
      <c r="A37" s="53" t="s">
        <v>18</v>
      </c>
      <c r="B37" s="13">
        <f t="shared" si="0"/>
        <v>4136.363636363636</v>
      </c>
      <c r="C37" s="51">
        <f t="shared" si="2"/>
        <v>172.34848484848484</v>
      </c>
      <c r="D37" s="18">
        <f t="shared" si="3"/>
        <v>47.218762972187626</v>
      </c>
      <c r="E37" s="54">
        <f t="shared" si="1"/>
        <v>2757.575757575758</v>
      </c>
      <c r="F37" s="28">
        <f t="shared" si="4"/>
        <v>114.89898989898991</v>
      </c>
      <c r="G37" s="44">
        <f t="shared" si="5"/>
        <v>31.479175314791757</v>
      </c>
      <c r="H37" s="10">
        <f t="shared" si="6"/>
        <v>6363.6363636363631</v>
      </c>
      <c r="I37" s="51">
        <f t="shared" si="7"/>
        <v>265.15151515151513</v>
      </c>
      <c r="J37" s="18">
        <f t="shared" si="8"/>
        <v>24.214750242147502</v>
      </c>
      <c r="K37" s="52">
        <f t="shared" si="9"/>
        <v>4242.4242424242429</v>
      </c>
      <c r="L37" s="28">
        <f t="shared" si="10"/>
        <v>176.76767676767679</v>
      </c>
      <c r="M37" s="44">
        <f t="shared" si="11"/>
        <v>16.143166828098337</v>
      </c>
    </row>
    <row r="38" spans="1:13" ht="15.75" thickBot="1" x14ac:dyDescent="0.3">
      <c r="A38" s="56" t="s">
        <v>19</v>
      </c>
      <c r="B38" s="15">
        <f t="shared" si="0"/>
        <v>4125</v>
      </c>
      <c r="C38" s="57">
        <f t="shared" si="2"/>
        <v>171.875</v>
      </c>
      <c r="D38" s="58">
        <f t="shared" si="3"/>
        <v>47.089041095890408</v>
      </c>
      <c r="E38" s="59" t="s">
        <v>20</v>
      </c>
      <c r="F38" s="31" t="s">
        <v>20</v>
      </c>
      <c r="G38" s="21" t="s">
        <v>20</v>
      </c>
      <c r="H38" s="61">
        <f t="shared" si="6"/>
        <v>6336.538461538461</v>
      </c>
      <c r="I38" s="57">
        <f t="shared" si="7"/>
        <v>264.02243589743586</v>
      </c>
      <c r="J38" s="58">
        <f t="shared" si="8"/>
        <v>24.111637981500991</v>
      </c>
      <c r="K38" s="59" t="s">
        <v>20</v>
      </c>
      <c r="L38" s="31" t="s">
        <v>20</v>
      </c>
      <c r="M38" s="21" t="s">
        <v>20</v>
      </c>
    </row>
    <row r="40" spans="1:13" ht="18.75" x14ac:dyDescent="0.3">
      <c r="A40" s="1" t="s">
        <v>75</v>
      </c>
    </row>
    <row r="42" spans="1:13" x14ac:dyDescent="0.25">
      <c r="A42" t="s">
        <v>76</v>
      </c>
    </row>
  </sheetData>
  <pageMargins left="0.7" right="0.7" top="0.75" bottom="0.75" header="0.3" footer="0.3"/>
  <pageSetup orientation="portrait" r:id="rId1"/>
  <customProperties>
    <customPr name="DVSECTION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Q67"/>
  <sheetViews>
    <sheetView topLeftCell="A19" workbookViewId="0">
      <selection activeCell="S25" sqref="S25"/>
    </sheetView>
  </sheetViews>
  <sheetFormatPr defaultRowHeight="15" x14ac:dyDescent="0.25"/>
  <cols>
    <col min="1" max="1" width="26.140625" customWidth="1"/>
    <col min="2" max="2" width="10.28515625" bestFit="1" customWidth="1"/>
    <col min="3" max="3" width="9.140625" customWidth="1"/>
    <col min="5" max="5" width="24.140625" bestFit="1" customWidth="1"/>
    <col min="6" max="6" width="10.28515625" bestFit="1" customWidth="1"/>
    <col min="15" max="15" width="7.5703125" bestFit="1" customWidth="1"/>
    <col min="16" max="16" width="12" bestFit="1" customWidth="1"/>
    <col min="17" max="17" width="19.5703125" bestFit="1" customWidth="1"/>
  </cols>
  <sheetData>
    <row r="2" spans="1:17" ht="18.75" x14ac:dyDescent="0.3">
      <c r="A2" s="1" t="s">
        <v>77</v>
      </c>
      <c r="O2" s="1" t="s">
        <v>78</v>
      </c>
    </row>
    <row r="3" spans="1:17" ht="15.75" thickBot="1" x14ac:dyDescent="0.3"/>
    <row r="4" spans="1:17" ht="15.75" thickBot="1" x14ac:dyDescent="0.3">
      <c r="O4" s="69" t="s">
        <v>79</v>
      </c>
      <c r="P4" s="70" t="s">
        <v>80</v>
      </c>
      <c r="Q4" s="70" t="s">
        <v>81</v>
      </c>
    </row>
    <row r="5" spans="1:17" x14ac:dyDescent="0.25">
      <c r="O5" s="71">
        <v>1</v>
      </c>
      <c r="P5" s="72">
        <v>0.85</v>
      </c>
      <c r="Q5" s="72">
        <f>ROUNDUP(P5,0)</f>
        <v>1</v>
      </c>
    </row>
    <row r="6" spans="1:17" x14ac:dyDescent="0.25">
      <c r="O6" s="73">
        <v>2</v>
      </c>
      <c r="P6" s="74">
        <v>1.78</v>
      </c>
      <c r="Q6" s="72">
        <f t="shared" ref="Q6:Q34" si="0">ROUNDUP(P6,0)</f>
        <v>2</v>
      </c>
    </row>
    <row r="7" spans="1:17" x14ac:dyDescent="0.25">
      <c r="O7" s="73">
        <v>3</v>
      </c>
      <c r="P7" s="74">
        <v>3</v>
      </c>
      <c r="Q7" s="72">
        <f t="shared" si="0"/>
        <v>3</v>
      </c>
    </row>
    <row r="8" spans="1:17" x14ac:dyDescent="0.25">
      <c r="O8" s="73">
        <v>4</v>
      </c>
      <c r="P8" s="74">
        <v>2.78</v>
      </c>
      <c r="Q8" s="72">
        <f t="shared" si="0"/>
        <v>3</v>
      </c>
    </row>
    <row r="9" spans="1:17" x14ac:dyDescent="0.25">
      <c r="O9" s="73">
        <v>5</v>
      </c>
      <c r="P9" s="74">
        <v>2.89</v>
      </c>
      <c r="Q9" s="72">
        <f t="shared" si="0"/>
        <v>3</v>
      </c>
    </row>
    <row r="10" spans="1:17" x14ac:dyDescent="0.25">
      <c r="O10" s="73">
        <v>6</v>
      </c>
      <c r="P10" s="74">
        <v>3</v>
      </c>
      <c r="Q10" s="72">
        <f t="shared" si="0"/>
        <v>3</v>
      </c>
    </row>
    <row r="11" spans="1:17" x14ac:dyDescent="0.25">
      <c r="O11" s="73">
        <v>7</v>
      </c>
      <c r="P11" s="74">
        <v>2.56</v>
      </c>
      <c r="Q11" s="72">
        <f t="shared" si="0"/>
        <v>3</v>
      </c>
    </row>
    <row r="12" spans="1:17" x14ac:dyDescent="0.25">
      <c r="O12" s="73">
        <v>8</v>
      </c>
      <c r="P12" s="74">
        <v>2.35</v>
      </c>
      <c r="Q12" s="72">
        <f t="shared" si="0"/>
        <v>3</v>
      </c>
    </row>
    <row r="13" spans="1:17" x14ac:dyDescent="0.25">
      <c r="O13" s="73">
        <v>9</v>
      </c>
      <c r="P13" s="74">
        <v>2.2000000000000002</v>
      </c>
      <c r="Q13" s="72">
        <f t="shared" si="0"/>
        <v>3</v>
      </c>
    </row>
    <row r="14" spans="1:17" x14ac:dyDescent="0.25">
      <c r="O14" s="73">
        <v>10</v>
      </c>
      <c r="P14" s="74">
        <v>2</v>
      </c>
      <c r="Q14" s="72">
        <f t="shared" si="0"/>
        <v>2</v>
      </c>
    </row>
    <row r="15" spans="1:17" x14ac:dyDescent="0.25">
      <c r="O15" s="73">
        <v>11</v>
      </c>
      <c r="P15" s="74">
        <v>0.9</v>
      </c>
      <c r="Q15" s="72">
        <f t="shared" si="0"/>
        <v>1</v>
      </c>
    </row>
    <row r="16" spans="1:17" x14ac:dyDescent="0.25">
      <c r="O16" s="73">
        <v>12</v>
      </c>
      <c r="P16" s="74">
        <v>1.5</v>
      </c>
      <c r="Q16" s="72">
        <f t="shared" si="0"/>
        <v>2</v>
      </c>
    </row>
    <row r="17" spans="1:17" x14ac:dyDescent="0.25">
      <c r="O17" s="73">
        <v>13</v>
      </c>
      <c r="P17" s="74">
        <v>2.67</v>
      </c>
      <c r="Q17" s="72">
        <f t="shared" si="0"/>
        <v>3</v>
      </c>
    </row>
    <row r="18" spans="1:17" x14ac:dyDescent="0.25">
      <c r="O18" s="73">
        <v>14</v>
      </c>
      <c r="P18" s="74">
        <v>3</v>
      </c>
      <c r="Q18" s="72">
        <f t="shared" si="0"/>
        <v>3</v>
      </c>
    </row>
    <row r="19" spans="1:17" x14ac:dyDescent="0.25">
      <c r="O19" s="73">
        <v>15</v>
      </c>
      <c r="P19" s="74">
        <v>3.3</v>
      </c>
      <c r="Q19" s="72">
        <f t="shared" si="0"/>
        <v>4</v>
      </c>
    </row>
    <row r="20" spans="1:17" x14ac:dyDescent="0.25">
      <c r="O20" s="73">
        <v>16</v>
      </c>
      <c r="P20" s="74">
        <v>3.5</v>
      </c>
      <c r="Q20" s="72">
        <f t="shared" si="0"/>
        <v>4</v>
      </c>
    </row>
    <row r="21" spans="1:17" ht="18.75" x14ac:dyDescent="0.3">
      <c r="A21" s="1" t="s">
        <v>82</v>
      </c>
      <c r="O21" s="73">
        <v>17</v>
      </c>
      <c r="P21" s="74">
        <v>3.7</v>
      </c>
      <c r="Q21" s="72">
        <f t="shared" si="0"/>
        <v>4</v>
      </c>
    </row>
    <row r="22" spans="1:17" x14ac:dyDescent="0.25">
      <c r="O22" s="73">
        <v>18</v>
      </c>
      <c r="P22" s="74">
        <v>4</v>
      </c>
      <c r="Q22" s="72">
        <f t="shared" si="0"/>
        <v>4</v>
      </c>
    </row>
    <row r="23" spans="1:17" x14ac:dyDescent="0.25">
      <c r="A23" t="s">
        <v>83</v>
      </c>
      <c r="O23" s="73">
        <v>19</v>
      </c>
      <c r="P23" s="74">
        <v>3.8</v>
      </c>
      <c r="Q23" s="72">
        <f t="shared" si="0"/>
        <v>4</v>
      </c>
    </row>
    <row r="24" spans="1:17" x14ac:dyDescent="0.25">
      <c r="A24" t="s">
        <v>84</v>
      </c>
      <c r="O24" s="73">
        <v>20</v>
      </c>
      <c r="P24" s="74">
        <v>3</v>
      </c>
      <c r="Q24" s="72">
        <f t="shared" si="0"/>
        <v>3</v>
      </c>
    </row>
    <row r="25" spans="1:17" x14ac:dyDescent="0.25">
      <c r="A25" t="s">
        <v>85</v>
      </c>
      <c r="O25" s="73">
        <v>21</v>
      </c>
      <c r="P25" s="74">
        <v>2.65</v>
      </c>
      <c r="Q25" s="72">
        <f t="shared" si="0"/>
        <v>3</v>
      </c>
    </row>
    <row r="26" spans="1:17" x14ac:dyDescent="0.25">
      <c r="A26" t="s">
        <v>86</v>
      </c>
      <c r="O26" s="73">
        <v>22</v>
      </c>
      <c r="P26" s="74">
        <v>2</v>
      </c>
      <c r="Q26" s="72">
        <f t="shared" si="0"/>
        <v>2</v>
      </c>
    </row>
    <row r="27" spans="1:17" x14ac:dyDescent="0.25">
      <c r="A27" t="s">
        <v>87</v>
      </c>
      <c r="O27" s="73">
        <v>23</v>
      </c>
      <c r="P27" s="74">
        <v>2.4</v>
      </c>
      <c r="Q27" s="72">
        <f t="shared" si="0"/>
        <v>3</v>
      </c>
    </row>
    <row r="28" spans="1:17" ht="15.75" thickBot="1" x14ac:dyDescent="0.3">
      <c r="O28" s="73">
        <v>24</v>
      </c>
      <c r="P28" s="74">
        <v>3</v>
      </c>
      <c r="Q28" s="72">
        <f t="shared" si="0"/>
        <v>3</v>
      </c>
    </row>
    <row r="29" spans="1:17" ht="15.75" thickBot="1" x14ac:dyDescent="0.3">
      <c r="A29" s="75" t="s">
        <v>88</v>
      </c>
      <c r="B29" s="76" t="s">
        <v>89</v>
      </c>
      <c r="C29" s="76" t="s">
        <v>90</v>
      </c>
      <c r="E29" s="77" t="s">
        <v>91</v>
      </c>
      <c r="F29" s="78" t="s">
        <v>92</v>
      </c>
      <c r="O29" s="73">
        <v>25</v>
      </c>
      <c r="P29" s="74">
        <v>2.7</v>
      </c>
      <c r="Q29" s="72">
        <f t="shared" si="0"/>
        <v>3</v>
      </c>
    </row>
    <row r="30" spans="1:17" x14ac:dyDescent="0.25">
      <c r="A30" s="76" t="s">
        <v>93</v>
      </c>
      <c r="B30" s="79">
        <f>SUMIF(Q5:Q34,"&gt;0")-0*COUNTIF(Q5:Q34,"&gt;0")</f>
        <v>83</v>
      </c>
      <c r="C30" s="79">
        <f>B30*'[1]General Pricing'!B7*365/COUNT(O5:O34)*24</f>
        <v>2060.0600000000004</v>
      </c>
      <c r="E30" s="80" t="s">
        <v>94</v>
      </c>
      <c r="F30" s="81">
        <f>C32</f>
        <v>2060.0600000000004</v>
      </c>
      <c r="O30" s="73">
        <v>26</v>
      </c>
      <c r="P30" s="74">
        <v>2</v>
      </c>
      <c r="Q30" s="72">
        <f t="shared" si="0"/>
        <v>2</v>
      </c>
    </row>
    <row r="31" spans="1:17" x14ac:dyDescent="0.25">
      <c r="A31" s="76" t="s">
        <v>95</v>
      </c>
      <c r="B31" s="79">
        <f>Q36-B30</f>
        <v>0</v>
      </c>
      <c r="C31" s="79">
        <f>'[1]General Pricing'!F7*0+B31*'[1]General Pricing'!D7*365/COUNT(O5:O34)*24</f>
        <v>0</v>
      </c>
      <c r="E31" s="11" t="s">
        <v>96</v>
      </c>
      <c r="F31" s="82">
        <f>C37</f>
        <v>1805.76</v>
      </c>
      <c r="O31" s="73">
        <v>27</v>
      </c>
      <c r="P31" s="74">
        <v>2.8</v>
      </c>
      <c r="Q31" s="72">
        <f t="shared" si="0"/>
        <v>3</v>
      </c>
    </row>
    <row r="32" spans="1:17" x14ac:dyDescent="0.25">
      <c r="A32" s="83" t="s">
        <v>97</v>
      </c>
      <c r="B32" s="79">
        <f>SUM(B30:B31)</f>
        <v>83</v>
      </c>
      <c r="C32" s="79">
        <f>SUM(C30:C31)</f>
        <v>2060.0600000000004</v>
      </c>
      <c r="E32" s="11" t="s">
        <v>98</v>
      </c>
      <c r="F32" s="82">
        <f>C42</f>
        <v>1583.58</v>
      </c>
      <c r="O32" s="73">
        <v>28</v>
      </c>
      <c r="P32" s="74">
        <v>2</v>
      </c>
      <c r="Q32" s="72">
        <f t="shared" si="0"/>
        <v>2</v>
      </c>
    </row>
    <row r="33" spans="1:17" x14ac:dyDescent="0.25">
      <c r="E33" s="11" t="s">
        <v>99</v>
      </c>
      <c r="F33" s="82">
        <f>C47</f>
        <v>1489.8799999999997</v>
      </c>
      <c r="O33" s="73">
        <v>29</v>
      </c>
      <c r="P33" s="74">
        <v>1.85</v>
      </c>
      <c r="Q33" s="72">
        <f t="shared" si="0"/>
        <v>2</v>
      </c>
    </row>
    <row r="34" spans="1:17" ht="15.75" thickBot="1" x14ac:dyDescent="0.3">
      <c r="A34" s="75" t="s">
        <v>96</v>
      </c>
      <c r="B34" s="76" t="s">
        <v>89</v>
      </c>
      <c r="C34" s="76" t="s">
        <v>90</v>
      </c>
      <c r="E34" s="14" t="s">
        <v>100</v>
      </c>
      <c r="F34" s="84">
        <f>C52</f>
        <v>1637.08</v>
      </c>
      <c r="O34" s="85">
        <v>30</v>
      </c>
      <c r="P34" s="86">
        <v>1.5</v>
      </c>
      <c r="Q34" s="72">
        <f t="shared" si="0"/>
        <v>2</v>
      </c>
    </row>
    <row r="35" spans="1:17" ht="15.75" thickBot="1" x14ac:dyDescent="0.3">
      <c r="A35" s="76" t="s">
        <v>93</v>
      </c>
      <c r="B35" s="79">
        <f>SUMIF(Q5:Q34,"&gt;1")-1*COUNTIF(Q5:Q34,"&gt;1")</f>
        <v>53</v>
      </c>
      <c r="C35" s="79">
        <f>B35*'[1]General Pricing'!B7*365/COUNT(O5:O34)*24</f>
        <v>1315.46</v>
      </c>
    </row>
    <row r="36" spans="1:17" ht="15.75" thickBot="1" x14ac:dyDescent="0.3">
      <c r="A36" s="76" t="s">
        <v>95</v>
      </c>
      <c r="B36" s="79">
        <f>Q36-B35</f>
        <v>30</v>
      </c>
      <c r="C36" s="79">
        <f>'[1]General Pricing'!F7*1+B36*'[1]General Pricing'!D7*365/COUNT(O5:O34)*24</f>
        <v>490.29999999999995</v>
      </c>
      <c r="E36" t="s">
        <v>101</v>
      </c>
      <c r="P36" s="77" t="s">
        <v>102</v>
      </c>
      <c r="Q36" s="87">
        <f>SUM(Q5:Q34)</f>
        <v>83</v>
      </c>
    </row>
    <row r="37" spans="1:17" x14ac:dyDescent="0.25">
      <c r="A37" s="83" t="s">
        <v>97</v>
      </c>
      <c r="B37" s="79">
        <f>SUM(B35:B36)</f>
        <v>83</v>
      </c>
      <c r="C37" s="79">
        <f>SUM(C35:C36)</f>
        <v>1805.76</v>
      </c>
    </row>
    <row r="38" spans="1:17" ht="15.75" thickBot="1" x14ac:dyDescent="0.3"/>
    <row r="39" spans="1:17" x14ac:dyDescent="0.25">
      <c r="A39" s="75" t="s">
        <v>98</v>
      </c>
      <c r="B39" s="76" t="s">
        <v>89</v>
      </c>
      <c r="C39" s="76" t="s">
        <v>90</v>
      </c>
      <c r="I39" s="88"/>
      <c r="P39" s="3" t="s">
        <v>103</v>
      </c>
      <c r="Q39" s="33">
        <v>3</v>
      </c>
    </row>
    <row r="40" spans="1:17" x14ac:dyDescent="0.25">
      <c r="A40" s="76" t="s">
        <v>93</v>
      </c>
      <c r="B40" s="79">
        <f>SUMIF(Q5:Q34,"&gt;2")-2*COUNTIF(Q5:Q34,"&gt;2")</f>
        <v>25</v>
      </c>
      <c r="C40" s="79">
        <f>B40*'[1]General Pricing'!B7*365/COUNT(O5:O34)*24</f>
        <v>620.5</v>
      </c>
      <c r="J40" s="89"/>
      <c r="P40" s="90" t="s">
        <v>104</v>
      </c>
      <c r="Q40" s="74">
        <f>SUMIF(Q5:Q34,"&gt;"&amp;(Q39-1))-(Q39-1)*COUNTIF(Q5:Q34,"&gt;"&amp;(Q39-1))</f>
        <v>25</v>
      </c>
    </row>
    <row r="41" spans="1:17" x14ac:dyDescent="0.25">
      <c r="A41" s="76" t="s">
        <v>95</v>
      </c>
      <c r="B41" s="79">
        <f>Q36-B40</f>
        <v>58</v>
      </c>
      <c r="C41" s="79">
        <f>'[1]General Pricing'!F7*2+B41*'[1]General Pricing'!D7*365/COUNT(O5:O34)*24</f>
        <v>963.08</v>
      </c>
      <c r="I41" s="89"/>
      <c r="P41" s="90" t="s">
        <v>105</v>
      </c>
      <c r="Q41" s="74">
        <f>SUMIF(Q5:Q34,"&gt;"&amp;(Q39+1))-(Q39+1)*COUNTIF(Q5:Q34,"&gt;"&amp;(Q39+1))</f>
        <v>0</v>
      </c>
    </row>
    <row r="42" spans="1:17" x14ac:dyDescent="0.25">
      <c r="A42" s="83" t="s">
        <v>97</v>
      </c>
      <c r="B42" s="79">
        <f>SUM(B40:B41)</f>
        <v>83</v>
      </c>
      <c r="C42" s="79">
        <f>SUM(C40:C41)</f>
        <v>1583.58</v>
      </c>
      <c r="I42" s="91"/>
      <c r="P42" s="90" t="s">
        <v>106</v>
      </c>
      <c r="Q42" s="74">
        <f>Q40-Q41</f>
        <v>25</v>
      </c>
    </row>
    <row r="43" spans="1:17" x14ac:dyDescent="0.25">
      <c r="P43" s="92" t="s">
        <v>107</v>
      </c>
      <c r="Q43" s="74">
        <f>COUNTIF(Q5:Q34,"&gt;"&amp;(Q39-1))+COUNTIF(Q5:Q34,"&gt;"&amp;(Q39))</f>
        <v>25</v>
      </c>
    </row>
    <row r="44" spans="1:17" ht="15.75" thickBot="1" x14ac:dyDescent="0.3">
      <c r="A44" s="75" t="s">
        <v>99</v>
      </c>
      <c r="B44" s="76" t="s">
        <v>89</v>
      </c>
      <c r="C44" s="76" t="s">
        <v>90</v>
      </c>
      <c r="I44" s="88"/>
      <c r="P44" s="93" t="s">
        <v>108</v>
      </c>
      <c r="Q44" s="86">
        <v>28.38</v>
      </c>
    </row>
    <row r="45" spans="1:17" x14ac:dyDescent="0.25">
      <c r="A45" s="76" t="s">
        <v>93</v>
      </c>
      <c r="B45" s="79">
        <f>SUMIF(Q5:Q34,"&gt;3")-3*COUNTIF(Q5:Q34,"&gt;3")</f>
        <v>5</v>
      </c>
      <c r="C45" s="79">
        <f>B45*'[1]General Pricing'!B7*365/COUNT(O5:O34)*24</f>
        <v>124.10000000000002</v>
      </c>
      <c r="J45" s="89"/>
    </row>
    <row r="46" spans="1:17" x14ac:dyDescent="0.25">
      <c r="A46" s="76" t="s">
        <v>95</v>
      </c>
      <c r="B46" s="79">
        <f>Q36-B45</f>
        <v>78</v>
      </c>
      <c r="C46" s="79">
        <f>'[1]General Pricing'!F7*3+B46*'[1]General Pricing'!D7*365/COUNT(O5:O34)*24</f>
        <v>1365.7799999999997</v>
      </c>
      <c r="I46" s="89"/>
    </row>
    <row r="47" spans="1:17" x14ac:dyDescent="0.25">
      <c r="A47" s="83" t="s">
        <v>97</v>
      </c>
      <c r="B47" s="79">
        <f>SUM(B45:B46)</f>
        <v>83</v>
      </c>
      <c r="C47" s="79">
        <f>SUM(C45:C46)</f>
        <v>1489.8799999999997</v>
      </c>
      <c r="I47" s="91"/>
    </row>
    <row r="49" spans="1:6" x14ac:dyDescent="0.25">
      <c r="A49" s="75" t="s">
        <v>100</v>
      </c>
      <c r="B49" s="76" t="s">
        <v>89</v>
      </c>
      <c r="C49" s="76" t="s">
        <v>90</v>
      </c>
    </row>
    <row r="50" spans="1:6" x14ac:dyDescent="0.25">
      <c r="A50" s="76" t="s">
        <v>93</v>
      </c>
      <c r="B50" s="79">
        <f>SUMIF(Q5:Q34,"&gt;4")-4*COUNTIF(Q5:Q34,"&gt;4")</f>
        <v>0</v>
      </c>
      <c r="C50" s="79">
        <f>B50*'[1]General Pricing'!B7*365/COUNT(O5:O34)*24</f>
        <v>0</v>
      </c>
    </row>
    <row r="51" spans="1:6" x14ac:dyDescent="0.25">
      <c r="A51" s="76" t="s">
        <v>95</v>
      </c>
      <c r="B51" s="79">
        <f>Q36-B50</f>
        <v>83</v>
      </c>
      <c r="C51" s="79">
        <f>'[1]General Pricing'!F7*4+B51*'[1]General Pricing'!D7*365/COUNT(O5:O34)*24</f>
        <v>1637.08</v>
      </c>
    </row>
    <row r="52" spans="1:6" x14ac:dyDescent="0.25">
      <c r="A52" s="83" t="s">
        <v>97</v>
      </c>
      <c r="B52" s="79">
        <f>SUM(B50:B51)</f>
        <v>83</v>
      </c>
      <c r="C52" s="79">
        <f>SUM(C50:C51)</f>
        <v>1637.08</v>
      </c>
    </row>
    <row r="54" spans="1:6" ht="18.75" x14ac:dyDescent="0.3">
      <c r="A54" s="1" t="s">
        <v>109</v>
      </c>
    </row>
    <row r="56" spans="1:6" x14ac:dyDescent="0.25">
      <c r="A56" t="s">
        <v>110</v>
      </c>
    </row>
    <row r="57" spans="1:6" x14ac:dyDescent="0.25">
      <c r="A57" t="s">
        <v>111</v>
      </c>
    </row>
    <row r="58" spans="1:6" ht="15.75" thickBot="1" x14ac:dyDescent="0.3"/>
    <row r="59" spans="1:6" ht="15.75" customHeight="1" thickBot="1" x14ac:dyDescent="0.3">
      <c r="D59" s="69" t="s">
        <v>112</v>
      </c>
      <c r="E59" s="94" t="s">
        <v>113</v>
      </c>
      <c r="F59" s="70" t="s">
        <v>114</v>
      </c>
    </row>
    <row r="60" spans="1:6" x14ac:dyDescent="0.25">
      <c r="D60" s="95">
        <v>0</v>
      </c>
      <c r="E60" s="96">
        <f>COUNTIF(Q5:Q34,"&gt;=0")/COUNT(Q5:Q34)*100</f>
        <v>100</v>
      </c>
      <c r="F60" s="72" t="str">
        <f>IF(E60&gt;='[1]General Pricing'!D29,"yes","no")</f>
        <v>yes</v>
      </c>
    </row>
    <row r="61" spans="1:6" x14ac:dyDescent="0.25">
      <c r="D61" s="90">
        <v>1</v>
      </c>
      <c r="E61" s="79">
        <f>COUNTIF(Q5:Q34,"&gt;=1")/COUNT(Q5:Q34)*100</f>
        <v>100</v>
      </c>
      <c r="F61" s="72" t="str">
        <f>IF(E61&gt;='[1]General Pricing'!D29,"yes","no")</f>
        <v>yes</v>
      </c>
    </row>
    <row r="62" spans="1:6" x14ac:dyDescent="0.25">
      <c r="D62" s="90">
        <v>2</v>
      </c>
      <c r="E62" s="79">
        <f>COUNTIF(Q5:Q34,"&gt;=2")/COUNT(Q5:Q34)*100</f>
        <v>93.333333333333329</v>
      </c>
      <c r="F62" s="72" t="str">
        <f>IF(E62&gt;='[1]General Pricing'!D29,"yes","no")</f>
        <v>yes</v>
      </c>
    </row>
    <row r="63" spans="1:6" x14ac:dyDescent="0.25">
      <c r="D63" s="90">
        <v>3</v>
      </c>
      <c r="E63" s="79">
        <f>COUNTIF(Q5:Q34,"&gt;=3")/COUNT(Q5:Q34)*100</f>
        <v>66.666666666666657</v>
      </c>
      <c r="F63" s="72" t="str">
        <f>IF(E63&gt;='[1]General Pricing'!D29,"yes","no")</f>
        <v>yes</v>
      </c>
    </row>
    <row r="64" spans="1:6" x14ac:dyDescent="0.25">
      <c r="D64" s="90">
        <v>4</v>
      </c>
      <c r="E64" s="79">
        <f>COUNTIF(Q5:Q34,"&gt;=4")/COUNT(Q5:Q34)*100</f>
        <v>16.666666666666664</v>
      </c>
      <c r="F64" s="72" t="str">
        <f>IF(E64&gt;='[1]General Pricing'!D29,"yes","no")</f>
        <v>no</v>
      </c>
    </row>
    <row r="65" spans="1:6" ht="15.75" thickBot="1" x14ac:dyDescent="0.3">
      <c r="D65" s="97">
        <v>5</v>
      </c>
      <c r="E65" s="98">
        <f>COUNTIF(Q5:Q34,"&gt;=5")/COUNT(Q5:Q34)*100</f>
        <v>0</v>
      </c>
      <c r="F65" s="99" t="str">
        <f>IF(E65&gt;='[1]General Pricing'!D29,"yes","no")</f>
        <v>no</v>
      </c>
    </row>
    <row r="67" spans="1:6" x14ac:dyDescent="0.25">
      <c r="A67" t="s">
        <v>115</v>
      </c>
    </row>
  </sheetData>
  <pageMargins left="0.7" right="0.7" top="0.75" bottom="0.75" header="0.3" footer="0.3"/>
  <customProperties>
    <customPr name="DVSECTIONID" r:id="rId1"/>
  </customPropertie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G215"/>
  <sheetViews>
    <sheetView showGridLines="0" topLeftCell="A181" workbookViewId="0">
      <selection activeCell="G206" sqref="G206:G214"/>
    </sheetView>
  </sheetViews>
  <sheetFormatPr defaultRowHeight="15" x14ac:dyDescent="0.25"/>
  <cols>
    <col min="1" max="1" width="39.5703125" customWidth="1"/>
    <col min="2" max="4" width="12.42578125" bestFit="1" customWidth="1"/>
    <col min="5" max="6" width="11" bestFit="1" customWidth="1"/>
    <col min="7" max="7" width="11.42578125" bestFit="1" customWidth="1"/>
  </cols>
  <sheetData>
    <row r="2" spans="1:7" ht="18.75" x14ac:dyDescent="0.3">
      <c r="A2" s="1" t="s">
        <v>116</v>
      </c>
      <c r="B2" s="40"/>
    </row>
    <row r="3" spans="1:7" ht="15.75" thickBot="1" x14ac:dyDescent="0.3"/>
    <row r="4" spans="1:7" x14ac:dyDescent="0.25">
      <c r="A4" s="41" t="s">
        <v>41</v>
      </c>
      <c r="B4" s="3" t="s">
        <v>54</v>
      </c>
      <c r="C4" s="33" t="s">
        <v>54</v>
      </c>
      <c r="D4" s="3" t="s">
        <v>43</v>
      </c>
      <c r="E4" s="32" t="s">
        <v>43</v>
      </c>
      <c r="F4" s="32" t="s">
        <v>43</v>
      </c>
      <c r="G4" s="33" t="s">
        <v>43</v>
      </c>
    </row>
    <row r="5" spans="1:7" x14ac:dyDescent="0.25">
      <c r="A5" s="42" t="s">
        <v>6</v>
      </c>
      <c r="B5" s="5" t="s">
        <v>7</v>
      </c>
      <c r="C5" s="16" t="s">
        <v>21</v>
      </c>
      <c r="D5" s="5" t="s">
        <v>7</v>
      </c>
      <c r="E5" s="34" t="s">
        <v>21</v>
      </c>
      <c r="F5" s="34"/>
      <c r="G5" s="16"/>
    </row>
    <row r="6" spans="1:7" ht="15.75" thickBot="1" x14ac:dyDescent="0.3">
      <c r="A6" s="43" t="s">
        <v>8</v>
      </c>
      <c r="B6" s="7" t="s">
        <v>9</v>
      </c>
      <c r="C6" s="17" t="s">
        <v>9</v>
      </c>
      <c r="D6" s="7" t="s">
        <v>9</v>
      </c>
      <c r="E6" s="35" t="s">
        <v>9</v>
      </c>
      <c r="F6" s="35" t="s">
        <v>44</v>
      </c>
      <c r="G6" s="17" t="s">
        <v>45</v>
      </c>
    </row>
    <row r="7" spans="1:7" x14ac:dyDescent="0.25">
      <c r="A7" s="8" t="s">
        <v>10</v>
      </c>
      <c r="B7" s="10">
        <v>8.5000000000000006E-2</v>
      </c>
      <c r="C7" s="18">
        <v>0.12</v>
      </c>
      <c r="D7" s="23">
        <v>0.03</v>
      </c>
      <c r="E7" s="28">
        <v>0.05</v>
      </c>
      <c r="F7" s="28">
        <v>227.5</v>
      </c>
      <c r="G7" s="44">
        <v>350</v>
      </c>
    </row>
    <row r="8" spans="1:7" x14ac:dyDescent="0.25">
      <c r="A8" s="11" t="s">
        <v>11</v>
      </c>
      <c r="B8" s="13">
        <v>0.34</v>
      </c>
      <c r="C8" s="20">
        <v>0.48</v>
      </c>
      <c r="D8" s="25">
        <v>0.12</v>
      </c>
      <c r="E8" s="30">
        <v>0.2</v>
      </c>
      <c r="F8" s="45">
        <v>910</v>
      </c>
      <c r="G8" s="46">
        <v>1400</v>
      </c>
    </row>
    <row r="9" spans="1:7" x14ac:dyDescent="0.25">
      <c r="A9" s="11" t="s">
        <v>12</v>
      </c>
      <c r="B9" s="13">
        <v>0.68</v>
      </c>
      <c r="C9" s="20">
        <v>0.96</v>
      </c>
      <c r="D9" s="25">
        <v>0.24</v>
      </c>
      <c r="E9" s="30">
        <v>0.4</v>
      </c>
      <c r="F9" s="30">
        <v>1820</v>
      </c>
      <c r="G9" s="38">
        <v>2800</v>
      </c>
    </row>
    <row r="10" spans="1:7" x14ac:dyDescent="0.25">
      <c r="A10" s="11" t="s">
        <v>13</v>
      </c>
      <c r="B10" s="13">
        <v>0.02</v>
      </c>
      <c r="C10" s="20">
        <v>0.03</v>
      </c>
      <c r="D10" s="25">
        <v>7.0000000000000001E-3</v>
      </c>
      <c r="E10" s="30">
        <v>1.2999999999999999E-2</v>
      </c>
      <c r="F10" s="30">
        <v>54</v>
      </c>
      <c r="G10" s="38">
        <v>82</v>
      </c>
    </row>
    <row r="11" spans="1:7" x14ac:dyDescent="0.25">
      <c r="A11" s="11" t="s">
        <v>14</v>
      </c>
      <c r="B11" s="13">
        <v>0.5</v>
      </c>
      <c r="C11" s="20">
        <v>0.62</v>
      </c>
      <c r="D11" s="25">
        <v>0.17</v>
      </c>
      <c r="E11" s="30">
        <v>0.24</v>
      </c>
      <c r="F11" s="30">
        <v>1325</v>
      </c>
      <c r="G11" s="38">
        <v>2000</v>
      </c>
    </row>
    <row r="12" spans="1:7" x14ac:dyDescent="0.25">
      <c r="A12" s="11" t="s">
        <v>15</v>
      </c>
      <c r="B12" s="13">
        <v>1</v>
      </c>
      <c r="C12" s="20">
        <v>1.24</v>
      </c>
      <c r="D12" s="25">
        <v>0.34</v>
      </c>
      <c r="E12" s="30">
        <v>0.48</v>
      </c>
      <c r="F12" s="30">
        <v>2650</v>
      </c>
      <c r="G12" s="38">
        <v>4000</v>
      </c>
    </row>
    <row r="13" spans="1:7" x14ac:dyDescent="0.25">
      <c r="A13" s="11" t="s">
        <v>16</v>
      </c>
      <c r="B13" s="13">
        <v>2</v>
      </c>
      <c r="C13" s="20">
        <v>2.48</v>
      </c>
      <c r="D13" s="25">
        <v>0.68</v>
      </c>
      <c r="E13" s="30">
        <v>0.96</v>
      </c>
      <c r="F13" s="30">
        <v>5300</v>
      </c>
      <c r="G13" s="38">
        <v>8000</v>
      </c>
    </row>
    <row r="14" spans="1:7" x14ac:dyDescent="0.25">
      <c r="A14" s="11" t="s">
        <v>17</v>
      </c>
      <c r="B14" s="13">
        <v>0.17</v>
      </c>
      <c r="C14" s="20">
        <v>0.28999999999999998</v>
      </c>
      <c r="D14" s="25">
        <v>0.06</v>
      </c>
      <c r="E14" s="30">
        <v>0.125</v>
      </c>
      <c r="F14" s="30">
        <v>455</v>
      </c>
      <c r="G14" s="38">
        <v>700</v>
      </c>
    </row>
    <row r="15" spans="1:7" x14ac:dyDescent="0.25">
      <c r="A15" s="11" t="s">
        <v>18</v>
      </c>
      <c r="B15" s="13">
        <v>0.68</v>
      </c>
      <c r="C15" s="20">
        <v>1.1599999999999999</v>
      </c>
      <c r="D15" s="25">
        <v>0.24</v>
      </c>
      <c r="E15" s="30">
        <v>0.5</v>
      </c>
      <c r="F15" s="30">
        <v>1820</v>
      </c>
      <c r="G15" s="38">
        <v>2800</v>
      </c>
    </row>
    <row r="16" spans="1:7" ht="15.75" thickBot="1" x14ac:dyDescent="0.3">
      <c r="A16" s="14" t="s">
        <v>19</v>
      </c>
      <c r="B16" s="15">
        <v>1.6</v>
      </c>
      <c r="C16" s="21" t="s">
        <v>20</v>
      </c>
      <c r="D16" s="26">
        <v>0.56000000000000005</v>
      </c>
      <c r="E16" s="31" t="s">
        <v>20</v>
      </c>
      <c r="F16" s="37">
        <v>4290</v>
      </c>
      <c r="G16" s="39">
        <v>6590</v>
      </c>
    </row>
    <row r="17" spans="1:7" ht="15.75" thickBot="1" x14ac:dyDescent="0.3"/>
    <row r="18" spans="1:7" x14ac:dyDescent="0.25">
      <c r="A18" s="2" t="s">
        <v>46</v>
      </c>
      <c r="B18" s="3" t="s">
        <v>47</v>
      </c>
      <c r="C18" s="32" t="s">
        <v>47</v>
      </c>
      <c r="D18" s="33" t="s">
        <v>47</v>
      </c>
      <c r="E18" s="47" t="s">
        <v>47</v>
      </c>
      <c r="F18" s="32" t="s">
        <v>47</v>
      </c>
      <c r="G18" s="33" t="s">
        <v>47</v>
      </c>
    </row>
    <row r="19" spans="1:7" x14ac:dyDescent="0.25">
      <c r="A19" s="4" t="s">
        <v>6</v>
      </c>
      <c r="B19" s="5" t="s">
        <v>7</v>
      </c>
      <c r="C19" s="34" t="s">
        <v>7</v>
      </c>
      <c r="D19" s="16" t="s">
        <v>7</v>
      </c>
      <c r="E19" s="48" t="s">
        <v>21</v>
      </c>
      <c r="F19" s="34" t="s">
        <v>21</v>
      </c>
      <c r="G19" s="16" t="s">
        <v>21</v>
      </c>
    </row>
    <row r="20" spans="1:7" ht="15.75" thickBot="1" x14ac:dyDescent="0.3">
      <c r="A20" s="6" t="s">
        <v>48</v>
      </c>
      <c r="B20" s="7" t="s">
        <v>49</v>
      </c>
      <c r="C20" s="35" t="s">
        <v>50</v>
      </c>
      <c r="D20" s="17" t="s">
        <v>51</v>
      </c>
      <c r="E20" s="49" t="s">
        <v>49</v>
      </c>
      <c r="F20" s="35" t="s">
        <v>50</v>
      </c>
      <c r="G20" s="17" t="s">
        <v>51</v>
      </c>
    </row>
    <row r="21" spans="1:7" x14ac:dyDescent="0.25">
      <c r="A21" s="50" t="s">
        <v>10</v>
      </c>
      <c r="B21" s="10">
        <f t="shared" ref="B21:B30" si="0">F7/(B7-D7)</f>
        <v>4136.363636363636</v>
      </c>
      <c r="C21" s="51">
        <f>B21/24</f>
        <v>172.34848484848484</v>
      </c>
      <c r="D21" s="18">
        <f>(C21/365)*100</f>
        <v>47.218762972187626</v>
      </c>
      <c r="E21" s="52">
        <f t="shared" ref="E21:E29" si="1">F7/(C7-E7)</f>
        <v>3250.0000000000005</v>
      </c>
      <c r="F21" s="28">
        <f>E21/24</f>
        <v>135.41666666666669</v>
      </c>
      <c r="G21" s="44">
        <f>(F21/365)*100</f>
        <v>37.100456621004575</v>
      </c>
    </row>
    <row r="22" spans="1:7" x14ac:dyDescent="0.25">
      <c r="A22" s="53" t="s">
        <v>11</v>
      </c>
      <c r="B22" s="13">
        <f t="shared" si="0"/>
        <v>4136.363636363636</v>
      </c>
      <c r="C22" s="51">
        <f t="shared" ref="C22:C30" si="2">B22/24</f>
        <v>172.34848484848484</v>
      </c>
      <c r="D22" s="18">
        <f t="shared" ref="D22:D30" si="3">(C22/365)*100</f>
        <v>47.218762972187626</v>
      </c>
      <c r="E22" s="54">
        <f t="shared" si="1"/>
        <v>3250.0000000000005</v>
      </c>
      <c r="F22" s="28">
        <f t="shared" ref="F22:F29" si="4">E22/24</f>
        <v>135.41666666666669</v>
      </c>
      <c r="G22" s="44">
        <f t="shared" ref="G22:G29" si="5">(F22/365)*100</f>
        <v>37.100456621004575</v>
      </c>
    </row>
    <row r="23" spans="1:7" x14ac:dyDescent="0.25">
      <c r="A23" s="53" t="s">
        <v>12</v>
      </c>
      <c r="B23" s="13">
        <f t="shared" si="0"/>
        <v>4136.363636363636</v>
      </c>
      <c r="C23" s="51">
        <f t="shared" si="2"/>
        <v>172.34848484848484</v>
      </c>
      <c r="D23" s="18">
        <f t="shared" si="3"/>
        <v>47.218762972187626</v>
      </c>
      <c r="E23" s="54">
        <f t="shared" si="1"/>
        <v>3250.0000000000005</v>
      </c>
      <c r="F23" s="28">
        <f t="shared" si="4"/>
        <v>135.41666666666669</v>
      </c>
      <c r="G23" s="44">
        <f t="shared" si="5"/>
        <v>37.100456621004575</v>
      </c>
    </row>
    <row r="24" spans="1:7" x14ac:dyDescent="0.25">
      <c r="A24" s="53" t="s">
        <v>13</v>
      </c>
      <c r="B24" s="13">
        <f t="shared" si="0"/>
        <v>4153.8461538461534</v>
      </c>
      <c r="C24" s="51">
        <f t="shared" si="2"/>
        <v>173.07692307692307</v>
      </c>
      <c r="D24" s="18">
        <f t="shared" si="3"/>
        <v>47.418335089567961</v>
      </c>
      <c r="E24" s="54">
        <f t="shared" si="1"/>
        <v>3176.4705882352937</v>
      </c>
      <c r="F24" s="28">
        <f t="shared" si="4"/>
        <v>132.35294117647058</v>
      </c>
      <c r="G24" s="44">
        <f t="shared" si="5"/>
        <v>36.261079774375496</v>
      </c>
    </row>
    <row r="25" spans="1:7" x14ac:dyDescent="0.25">
      <c r="A25" s="53" t="s">
        <v>14</v>
      </c>
      <c r="B25" s="13">
        <f t="shared" si="0"/>
        <v>4015.1515151515155</v>
      </c>
      <c r="C25" s="51">
        <f t="shared" si="2"/>
        <v>167.29797979797982</v>
      </c>
      <c r="D25" s="18">
        <f t="shared" si="3"/>
        <v>45.835062958350633</v>
      </c>
      <c r="E25" s="54">
        <f t="shared" si="1"/>
        <v>3486.8421052631579</v>
      </c>
      <c r="F25" s="28">
        <f t="shared" si="4"/>
        <v>145.28508771929825</v>
      </c>
      <c r="G25" s="44">
        <f t="shared" si="5"/>
        <v>39.804133621725548</v>
      </c>
    </row>
    <row r="26" spans="1:7" x14ac:dyDescent="0.25">
      <c r="A26" s="53" t="s">
        <v>15</v>
      </c>
      <c r="B26" s="13">
        <f t="shared" si="0"/>
        <v>4015.1515151515155</v>
      </c>
      <c r="C26" s="51">
        <f t="shared" si="2"/>
        <v>167.29797979797982</v>
      </c>
      <c r="D26" s="18">
        <f t="shared" si="3"/>
        <v>45.835062958350633</v>
      </c>
      <c r="E26" s="54">
        <f t="shared" si="1"/>
        <v>3486.8421052631579</v>
      </c>
      <c r="F26" s="28">
        <f t="shared" si="4"/>
        <v>145.28508771929825</v>
      </c>
      <c r="G26" s="44">
        <f t="shared" si="5"/>
        <v>39.804133621725548</v>
      </c>
    </row>
    <row r="27" spans="1:7" x14ac:dyDescent="0.25">
      <c r="A27" s="53" t="s">
        <v>16</v>
      </c>
      <c r="B27" s="13">
        <f t="shared" si="0"/>
        <v>4015.1515151515155</v>
      </c>
      <c r="C27" s="51">
        <f t="shared" si="2"/>
        <v>167.29797979797982</v>
      </c>
      <c r="D27" s="18">
        <f t="shared" si="3"/>
        <v>45.835062958350633</v>
      </c>
      <c r="E27" s="54">
        <f t="shared" si="1"/>
        <v>3486.8421052631579</v>
      </c>
      <c r="F27" s="28">
        <f t="shared" si="4"/>
        <v>145.28508771929825</v>
      </c>
      <c r="G27" s="44">
        <f t="shared" si="5"/>
        <v>39.804133621725548</v>
      </c>
    </row>
    <row r="28" spans="1:7" x14ac:dyDescent="0.25">
      <c r="A28" s="53" t="s">
        <v>17</v>
      </c>
      <c r="B28" s="13">
        <f t="shared" si="0"/>
        <v>4136.363636363636</v>
      </c>
      <c r="C28" s="51">
        <f t="shared" si="2"/>
        <v>172.34848484848484</v>
      </c>
      <c r="D28" s="18">
        <f t="shared" si="3"/>
        <v>47.218762972187626</v>
      </c>
      <c r="E28" s="54">
        <f t="shared" si="1"/>
        <v>2757.575757575758</v>
      </c>
      <c r="F28" s="28">
        <f t="shared" si="4"/>
        <v>114.89898989898991</v>
      </c>
      <c r="G28" s="44">
        <f t="shared" si="5"/>
        <v>31.479175314791757</v>
      </c>
    </row>
    <row r="29" spans="1:7" x14ac:dyDescent="0.25">
      <c r="A29" s="53" t="s">
        <v>18</v>
      </c>
      <c r="B29" s="13">
        <f t="shared" si="0"/>
        <v>4136.363636363636</v>
      </c>
      <c r="C29" s="51">
        <f t="shared" si="2"/>
        <v>172.34848484848484</v>
      </c>
      <c r="D29" s="18">
        <f t="shared" si="3"/>
        <v>47.218762972187626</v>
      </c>
      <c r="E29" s="54">
        <f t="shared" si="1"/>
        <v>2757.575757575758</v>
      </c>
      <c r="F29" s="28">
        <f t="shared" si="4"/>
        <v>114.89898989898991</v>
      </c>
      <c r="G29" s="44">
        <f t="shared" si="5"/>
        <v>31.479175314791757</v>
      </c>
    </row>
    <row r="30" spans="1:7" ht="15.75" thickBot="1" x14ac:dyDescent="0.3">
      <c r="A30" s="56" t="s">
        <v>19</v>
      </c>
      <c r="B30" s="15">
        <f t="shared" si="0"/>
        <v>4125</v>
      </c>
      <c r="C30" s="57">
        <f t="shared" si="2"/>
        <v>171.875</v>
      </c>
      <c r="D30" s="58">
        <f t="shared" si="3"/>
        <v>47.089041095890408</v>
      </c>
      <c r="E30" s="59" t="s">
        <v>20</v>
      </c>
      <c r="F30" s="31" t="s">
        <v>20</v>
      </c>
      <c r="G30" s="21" t="s">
        <v>20</v>
      </c>
    </row>
    <row r="31" spans="1:7" x14ac:dyDescent="0.25">
      <c r="A31" s="2" t="s">
        <v>46</v>
      </c>
      <c r="B31" s="3" t="s">
        <v>52</v>
      </c>
      <c r="C31" s="3" t="s">
        <v>52</v>
      </c>
      <c r="D31" s="8" t="s">
        <v>52</v>
      </c>
      <c r="E31" s="47" t="s">
        <v>52</v>
      </c>
      <c r="F31" s="3" t="s">
        <v>52</v>
      </c>
      <c r="G31" s="3" t="s">
        <v>52</v>
      </c>
    </row>
    <row r="32" spans="1:7" x14ac:dyDescent="0.25">
      <c r="A32" s="4" t="s">
        <v>6</v>
      </c>
      <c r="B32" s="5" t="s">
        <v>7</v>
      </c>
      <c r="C32" s="34" t="s">
        <v>7</v>
      </c>
      <c r="D32" s="16" t="s">
        <v>7</v>
      </c>
      <c r="E32" s="48" t="s">
        <v>21</v>
      </c>
      <c r="F32" s="34" t="s">
        <v>21</v>
      </c>
      <c r="G32" s="16" t="s">
        <v>21</v>
      </c>
    </row>
    <row r="33" spans="1:7" ht="15.75" thickBot="1" x14ac:dyDescent="0.3">
      <c r="A33" s="6" t="s">
        <v>48</v>
      </c>
      <c r="B33" s="7" t="s">
        <v>49</v>
      </c>
      <c r="C33" s="35" t="s">
        <v>50</v>
      </c>
      <c r="D33" s="17" t="s">
        <v>51</v>
      </c>
      <c r="E33" s="49" t="s">
        <v>49</v>
      </c>
      <c r="F33" s="35" t="s">
        <v>50</v>
      </c>
      <c r="G33" s="17" t="s">
        <v>51</v>
      </c>
    </row>
    <row r="34" spans="1:7" x14ac:dyDescent="0.25">
      <c r="A34" s="50" t="s">
        <v>10</v>
      </c>
      <c r="B34" s="10">
        <f t="shared" ref="B34:B43" si="6">G7/(B7-D7)</f>
        <v>6363.6363636363631</v>
      </c>
      <c r="C34" s="51">
        <f>B34/24</f>
        <v>265.15151515151513</v>
      </c>
      <c r="D34" s="18">
        <f>(C34/1095)*100</f>
        <v>24.214750242147502</v>
      </c>
      <c r="E34" s="52">
        <f t="shared" ref="E34:E42" si="7">G7/(C7-E7)</f>
        <v>5000.0000000000009</v>
      </c>
      <c r="F34" s="28">
        <f>E34/24</f>
        <v>208.33333333333337</v>
      </c>
      <c r="G34" s="44">
        <f>(F34/1095)*100</f>
        <v>19.025875190258756</v>
      </c>
    </row>
    <row r="35" spans="1:7" x14ac:dyDescent="0.25">
      <c r="A35" s="53" t="s">
        <v>11</v>
      </c>
      <c r="B35" s="10">
        <f t="shared" si="6"/>
        <v>6363.6363636363631</v>
      </c>
      <c r="C35" s="51">
        <f t="shared" ref="C35:C43" si="8">B35/24</f>
        <v>265.15151515151513</v>
      </c>
      <c r="D35" s="18">
        <f t="shared" ref="D35:D43" si="9">(C35/1095)*100</f>
        <v>24.214750242147502</v>
      </c>
      <c r="E35" s="52">
        <f t="shared" si="7"/>
        <v>5000.0000000000009</v>
      </c>
      <c r="F35" s="28">
        <f t="shared" ref="F35:F42" si="10">E35/24</f>
        <v>208.33333333333337</v>
      </c>
      <c r="G35" s="44">
        <f t="shared" ref="G35:G42" si="11">(F35/1095)*100</f>
        <v>19.025875190258756</v>
      </c>
    </row>
    <row r="36" spans="1:7" x14ac:dyDescent="0.25">
      <c r="A36" s="53" t="s">
        <v>12</v>
      </c>
      <c r="B36" s="10">
        <f t="shared" si="6"/>
        <v>6363.6363636363631</v>
      </c>
      <c r="C36" s="51">
        <f t="shared" si="8"/>
        <v>265.15151515151513</v>
      </c>
      <c r="D36" s="18">
        <f t="shared" si="9"/>
        <v>24.214750242147502</v>
      </c>
      <c r="E36" s="52">
        <f t="shared" si="7"/>
        <v>5000.0000000000009</v>
      </c>
      <c r="F36" s="28">
        <f t="shared" si="10"/>
        <v>208.33333333333337</v>
      </c>
      <c r="G36" s="44">
        <f t="shared" si="11"/>
        <v>19.025875190258756</v>
      </c>
    </row>
    <row r="37" spans="1:7" x14ac:dyDescent="0.25">
      <c r="A37" s="53" t="s">
        <v>13</v>
      </c>
      <c r="B37" s="10">
        <f t="shared" si="6"/>
        <v>6307.6923076923067</v>
      </c>
      <c r="C37" s="51">
        <f t="shared" si="8"/>
        <v>262.82051282051276</v>
      </c>
      <c r="D37" s="18">
        <f t="shared" si="9"/>
        <v>24.001873316941804</v>
      </c>
      <c r="E37" s="52">
        <f t="shared" si="7"/>
        <v>4823.5294117647054</v>
      </c>
      <c r="F37" s="28">
        <f t="shared" si="10"/>
        <v>200.98039215686273</v>
      </c>
      <c r="G37" s="44">
        <f t="shared" si="11"/>
        <v>18.354373712955503</v>
      </c>
    </row>
    <row r="38" spans="1:7" x14ac:dyDescent="0.25">
      <c r="A38" s="53" t="s">
        <v>14</v>
      </c>
      <c r="B38" s="10">
        <f t="shared" si="6"/>
        <v>6060.606060606061</v>
      </c>
      <c r="C38" s="51">
        <f t="shared" si="8"/>
        <v>252.52525252525254</v>
      </c>
      <c r="D38" s="18">
        <f t="shared" si="9"/>
        <v>23.061666897283338</v>
      </c>
      <c r="E38" s="52">
        <f t="shared" si="7"/>
        <v>5263.1578947368416</v>
      </c>
      <c r="F38" s="28">
        <f t="shared" si="10"/>
        <v>219.29824561403507</v>
      </c>
      <c r="G38" s="44">
        <f t="shared" si="11"/>
        <v>20.027237042377632</v>
      </c>
    </row>
    <row r="39" spans="1:7" x14ac:dyDescent="0.25">
      <c r="A39" s="53" t="s">
        <v>15</v>
      </c>
      <c r="B39" s="10">
        <f t="shared" si="6"/>
        <v>6060.606060606061</v>
      </c>
      <c r="C39" s="51">
        <f t="shared" si="8"/>
        <v>252.52525252525254</v>
      </c>
      <c r="D39" s="18">
        <f t="shared" si="9"/>
        <v>23.061666897283338</v>
      </c>
      <c r="E39" s="52">
        <f t="shared" si="7"/>
        <v>5263.1578947368416</v>
      </c>
      <c r="F39" s="28">
        <f t="shared" si="10"/>
        <v>219.29824561403507</v>
      </c>
      <c r="G39" s="44">
        <f t="shared" si="11"/>
        <v>20.027237042377632</v>
      </c>
    </row>
    <row r="40" spans="1:7" x14ac:dyDescent="0.25">
      <c r="A40" s="53" t="s">
        <v>16</v>
      </c>
      <c r="B40" s="10">
        <f t="shared" si="6"/>
        <v>6060.606060606061</v>
      </c>
      <c r="C40" s="51">
        <f t="shared" si="8"/>
        <v>252.52525252525254</v>
      </c>
      <c r="D40" s="18">
        <f t="shared" si="9"/>
        <v>23.061666897283338</v>
      </c>
      <c r="E40" s="52">
        <f t="shared" si="7"/>
        <v>5263.1578947368416</v>
      </c>
      <c r="F40" s="28">
        <f t="shared" si="10"/>
        <v>219.29824561403507</v>
      </c>
      <c r="G40" s="44">
        <f t="shared" si="11"/>
        <v>20.027237042377632</v>
      </c>
    </row>
    <row r="41" spans="1:7" x14ac:dyDescent="0.25">
      <c r="A41" s="53" t="s">
        <v>17</v>
      </c>
      <c r="B41" s="10">
        <f t="shared" si="6"/>
        <v>6363.6363636363631</v>
      </c>
      <c r="C41" s="51">
        <f t="shared" si="8"/>
        <v>265.15151515151513</v>
      </c>
      <c r="D41" s="18">
        <f t="shared" si="9"/>
        <v>24.214750242147502</v>
      </c>
      <c r="E41" s="52">
        <f t="shared" si="7"/>
        <v>4242.4242424242429</v>
      </c>
      <c r="F41" s="28">
        <f t="shared" si="10"/>
        <v>176.76767676767679</v>
      </c>
      <c r="G41" s="44">
        <f t="shared" si="11"/>
        <v>16.143166828098337</v>
      </c>
    </row>
    <row r="42" spans="1:7" x14ac:dyDescent="0.25">
      <c r="A42" s="53" t="s">
        <v>18</v>
      </c>
      <c r="B42" s="10">
        <f t="shared" si="6"/>
        <v>6363.6363636363631</v>
      </c>
      <c r="C42" s="51">
        <f t="shared" si="8"/>
        <v>265.15151515151513</v>
      </c>
      <c r="D42" s="18">
        <f t="shared" si="9"/>
        <v>24.214750242147502</v>
      </c>
      <c r="E42" s="52">
        <f t="shared" si="7"/>
        <v>4242.4242424242429</v>
      </c>
      <c r="F42" s="28">
        <f t="shared" si="10"/>
        <v>176.76767676767679</v>
      </c>
      <c r="G42" s="44">
        <f t="shared" si="11"/>
        <v>16.143166828098337</v>
      </c>
    </row>
    <row r="43" spans="1:7" ht="15.75" thickBot="1" x14ac:dyDescent="0.3">
      <c r="A43" s="56" t="s">
        <v>19</v>
      </c>
      <c r="B43" s="61">
        <f t="shared" si="6"/>
        <v>6336.538461538461</v>
      </c>
      <c r="C43" s="57">
        <f t="shared" si="8"/>
        <v>264.02243589743586</v>
      </c>
      <c r="D43" s="58">
        <f t="shared" si="9"/>
        <v>24.111637981500991</v>
      </c>
      <c r="E43" s="59" t="s">
        <v>20</v>
      </c>
      <c r="F43" s="31" t="s">
        <v>20</v>
      </c>
      <c r="G43" s="21" t="s">
        <v>20</v>
      </c>
    </row>
    <row r="45" spans="1:7" ht="18.75" x14ac:dyDescent="0.3">
      <c r="A45" s="1" t="s">
        <v>117</v>
      </c>
      <c r="B45" s="40"/>
    </row>
    <row r="46" spans="1:7" ht="15.75" thickBot="1" x14ac:dyDescent="0.3"/>
    <row r="47" spans="1:7" x14ac:dyDescent="0.25">
      <c r="A47" s="41" t="s">
        <v>41</v>
      </c>
      <c r="B47" s="3" t="s">
        <v>54</v>
      </c>
      <c r="C47" s="33" t="s">
        <v>54</v>
      </c>
      <c r="D47" s="3" t="s">
        <v>43</v>
      </c>
      <c r="E47" s="32" t="s">
        <v>43</v>
      </c>
      <c r="F47" s="32" t="s">
        <v>43</v>
      </c>
      <c r="G47" s="33" t="s">
        <v>43</v>
      </c>
    </row>
    <row r="48" spans="1:7" x14ac:dyDescent="0.25">
      <c r="A48" s="42" t="s">
        <v>6</v>
      </c>
      <c r="B48" s="5" t="s">
        <v>7</v>
      </c>
      <c r="C48" s="16" t="s">
        <v>21</v>
      </c>
      <c r="D48" s="5" t="s">
        <v>7</v>
      </c>
      <c r="E48" s="34" t="s">
        <v>21</v>
      </c>
      <c r="F48" s="34"/>
      <c r="G48" s="16"/>
    </row>
    <row r="49" spans="1:7" ht="15.75" thickBot="1" x14ac:dyDescent="0.3">
      <c r="A49" s="43" t="s">
        <v>8</v>
      </c>
      <c r="B49" s="7" t="s">
        <v>9</v>
      </c>
      <c r="C49" s="17" t="s">
        <v>9</v>
      </c>
      <c r="D49" s="7" t="s">
        <v>9</v>
      </c>
      <c r="E49" s="35" t="s">
        <v>9</v>
      </c>
      <c r="F49" s="35" t="s">
        <v>44</v>
      </c>
      <c r="G49" s="17" t="s">
        <v>45</v>
      </c>
    </row>
    <row r="50" spans="1:7" x14ac:dyDescent="0.25">
      <c r="A50" s="8" t="s">
        <v>10</v>
      </c>
      <c r="B50" s="10">
        <v>9.5000000000000001E-2</v>
      </c>
      <c r="C50" s="18">
        <v>0.13</v>
      </c>
      <c r="D50" s="23">
        <v>0.04</v>
      </c>
      <c r="E50" s="28">
        <v>0.06</v>
      </c>
      <c r="F50" s="28">
        <v>227.5</v>
      </c>
      <c r="G50" s="44">
        <v>350</v>
      </c>
    </row>
    <row r="51" spans="1:7" x14ac:dyDescent="0.25">
      <c r="A51" s="11" t="s">
        <v>11</v>
      </c>
      <c r="B51" s="13">
        <v>0.38</v>
      </c>
      <c r="C51" s="20">
        <v>0.52</v>
      </c>
      <c r="D51" s="25">
        <v>0.16</v>
      </c>
      <c r="E51" s="30">
        <v>0.24</v>
      </c>
      <c r="F51" s="45">
        <v>910</v>
      </c>
      <c r="G51" s="46">
        <v>1400</v>
      </c>
    </row>
    <row r="52" spans="1:7" x14ac:dyDescent="0.25">
      <c r="A52" s="11" t="s">
        <v>12</v>
      </c>
      <c r="B52" s="13">
        <v>0.76</v>
      </c>
      <c r="C52" s="20">
        <v>1.04</v>
      </c>
      <c r="D52" s="25">
        <v>0.32</v>
      </c>
      <c r="E52" s="30">
        <v>0.48</v>
      </c>
      <c r="F52" s="30">
        <v>1820</v>
      </c>
      <c r="G52" s="38">
        <v>2800</v>
      </c>
    </row>
    <row r="53" spans="1:7" x14ac:dyDescent="0.25">
      <c r="A53" s="11" t="s">
        <v>13</v>
      </c>
      <c r="B53" s="13">
        <v>2.5000000000000001E-2</v>
      </c>
      <c r="C53" s="20">
        <v>3.5000000000000003E-2</v>
      </c>
      <c r="D53" s="25">
        <v>0.01</v>
      </c>
      <c r="E53" s="30">
        <v>1.6E-2</v>
      </c>
      <c r="F53" s="30">
        <v>54</v>
      </c>
      <c r="G53" s="38">
        <v>82</v>
      </c>
    </row>
    <row r="54" spans="1:7" x14ac:dyDescent="0.25">
      <c r="A54" s="11" t="s">
        <v>14</v>
      </c>
      <c r="B54" s="13">
        <v>0.56999999999999995</v>
      </c>
      <c r="C54" s="20">
        <v>0.69</v>
      </c>
      <c r="D54" s="25">
        <v>0.24</v>
      </c>
      <c r="E54" s="30">
        <v>0.32</v>
      </c>
      <c r="F54" s="30">
        <v>1325</v>
      </c>
      <c r="G54" s="38">
        <v>2000</v>
      </c>
    </row>
    <row r="55" spans="1:7" x14ac:dyDescent="0.25">
      <c r="A55" s="11" t="s">
        <v>15</v>
      </c>
      <c r="B55" s="13">
        <v>1.1399999999999999</v>
      </c>
      <c r="C55" s="20">
        <v>1.38</v>
      </c>
      <c r="D55" s="25">
        <v>0.48</v>
      </c>
      <c r="E55" s="30">
        <v>0.64</v>
      </c>
      <c r="F55" s="30">
        <v>2650</v>
      </c>
      <c r="G55" s="38">
        <v>4000</v>
      </c>
    </row>
    <row r="56" spans="1:7" x14ac:dyDescent="0.25">
      <c r="A56" s="11" t="s">
        <v>16</v>
      </c>
      <c r="B56" s="13">
        <v>2.2799999999999998</v>
      </c>
      <c r="C56" s="20">
        <v>2.76</v>
      </c>
      <c r="D56" s="25">
        <v>0.96</v>
      </c>
      <c r="E56" s="30">
        <v>1.28</v>
      </c>
      <c r="F56" s="30">
        <v>5300</v>
      </c>
      <c r="G56" s="38">
        <v>8000</v>
      </c>
    </row>
    <row r="57" spans="1:7" x14ac:dyDescent="0.25">
      <c r="A57" s="11" t="s">
        <v>17</v>
      </c>
      <c r="B57" s="13">
        <v>0.19</v>
      </c>
      <c r="C57" s="20">
        <v>0.31</v>
      </c>
      <c r="D57" s="25">
        <v>0.08</v>
      </c>
      <c r="E57" s="30">
        <v>0.14499999999999999</v>
      </c>
      <c r="F57" s="30">
        <v>455</v>
      </c>
      <c r="G57" s="38">
        <v>700</v>
      </c>
    </row>
    <row r="58" spans="1:7" x14ac:dyDescent="0.25">
      <c r="A58" s="11" t="s">
        <v>18</v>
      </c>
      <c r="B58" s="13">
        <v>0.76</v>
      </c>
      <c r="C58" s="20">
        <v>1.24</v>
      </c>
      <c r="D58" s="25">
        <v>0.32</v>
      </c>
      <c r="E58" s="30">
        <v>0.57999999999999996</v>
      </c>
      <c r="F58" s="30">
        <v>1820</v>
      </c>
      <c r="G58" s="38">
        <v>2800</v>
      </c>
    </row>
    <row r="59" spans="1:7" ht="15.75" thickBot="1" x14ac:dyDescent="0.3">
      <c r="A59" s="14" t="s">
        <v>19</v>
      </c>
      <c r="B59" s="15" t="s">
        <v>20</v>
      </c>
      <c r="C59" s="21" t="s">
        <v>20</v>
      </c>
      <c r="D59" s="15" t="s">
        <v>20</v>
      </c>
      <c r="E59" s="31" t="s">
        <v>20</v>
      </c>
      <c r="F59" s="31" t="s">
        <v>20</v>
      </c>
      <c r="G59" s="21" t="s">
        <v>20</v>
      </c>
    </row>
    <row r="60" spans="1:7" ht="15.75" thickBot="1" x14ac:dyDescent="0.3"/>
    <row r="61" spans="1:7" x14ac:dyDescent="0.25">
      <c r="A61" s="2" t="s">
        <v>46</v>
      </c>
      <c r="B61" s="3" t="s">
        <v>47</v>
      </c>
      <c r="C61" s="32" t="s">
        <v>47</v>
      </c>
      <c r="D61" s="33" t="s">
        <v>47</v>
      </c>
      <c r="E61" s="47" t="s">
        <v>47</v>
      </c>
      <c r="F61" s="32" t="s">
        <v>47</v>
      </c>
      <c r="G61" s="33" t="s">
        <v>47</v>
      </c>
    </row>
    <row r="62" spans="1:7" x14ac:dyDescent="0.25">
      <c r="A62" s="4" t="s">
        <v>6</v>
      </c>
      <c r="B62" s="5" t="s">
        <v>7</v>
      </c>
      <c r="C62" s="34" t="s">
        <v>7</v>
      </c>
      <c r="D62" s="16" t="s">
        <v>7</v>
      </c>
      <c r="E62" s="48" t="s">
        <v>21</v>
      </c>
      <c r="F62" s="34" t="s">
        <v>21</v>
      </c>
      <c r="G62" s="16" t="s">
        <v>21</v>
      </c>
    </row>
    <row r="63" spans="1:7" ht="15.75" thickBot="1" x14ac:dyDescent="0.3">
      <c r="A63" s="6" t="s">
        <v>48</v>
      </c>
      <c r="B63" s="7" t="s">
        <v>49</v>
      </c>
      <c r="C63" s="35" t="s">
        <v>50</v>
      </c>
      <c r="D63" s="17" t="s">
        <v>51</v>
      </c>
      <c r="E63" s="49" t="s">
        <v>49</v>
      </c>
      <c r="F63" s="35" t="s">
        <v>50</v>
      </c>
      <c r="G63" s="17" t="s">
        <v>51</v>
      </c>
    </row>
    <row r="64" spans="1:7" x14ac:dyDescent="0.25">
      <c r="A64" s="50" t="s">
        <v>10</v>
      </c>
      <c r="B64" s="10">
        <f t="shared" ref="B64:B72" si="12">F50/(B50-D50)</f>
        <v>4136.363636363636</v>
      </c>
      <c r="C64" s="51">
        <f>B64/24</f>
        <v>172.34848484848484</v>
      </c>
      <c r="D64" s="18">
        <f>(C64/365)*100</f>
        <v>47.218762972187626</v>
      </c>
      <c r="E64" s="52">
        <f t="shared" ref="E64:E72" si="13">F50/(C50-E50)</f>
        <v>3249.9999999999995</v>
      </c>
      <c r="F64" s="28">
        <f>E64/24</f>
        <v>135.41666666666666</v>
      </c>
      <c r="G64" s="44">
        <f>(F64/365)*100</f>
        <v>37.100456621004561</v>
      </c>
    </row>
    <row r="65" spans="1:7" x14ac:dyDescent="0.25">
      <c r="A65" s="53" t="s">
        <v>11</v>
      </c>
      <c r="B65" s="13">
        <f t="shared" si="12"/>
        <v>4136.363636363636</v>
      </c>
      <c r="C65" s="51">
        <f t="shared" ref="C65:C72" si="14">B65/24</f>
        <v>172.34848484848484</v>
      </c>
      <c r="D65" s="18">
        <f t="shared" ref="D65:D72" si="15">(C65/365)*100</f>
        <v>47.218762972187626</v>
      </c>
      <c r="E65" s="54">
        <f t="shared" si="13"/>
        <v>3249.9999999999995</v>
      </c>
      <c r="F65" s="28">
        <f t="shared" ref="F65:F72" si="16">E65/24</f>
        <v>135.41666666666666</v>
      </c>
      <c r="G65" s="44">
        <f t="shared" ref="G65:G72" si="17">(F65/365)*100</f>
        <v>37.100456621004561</v>
      </c>
    </row>
    <row r="66" spans="1:7" x14ac:dyDescent="0.25">
      <c r="A66" s="53" t="s">
        <v>12</v>
      </c>
      <c r="B66" s="13">
        <f t="shared" si="12"/>
        <v>4136.363636363636</v>
      </c>
      <c r="C66" s="51">
        <f t="shared" si="14"/>
        <v>172.34848484848484</v>
      </c>
      <c r="D66" s="18">
        <f t="shared" si="15"/>
        <v>47.218762972187626</v>
      </c>
      <c r="E66" s="54">
        <f t="shared" si="13"/>
        <v>3249.9999999999995</v>
      </c>
      <c r="F66" s="28">
        <f t="shared" si="16"/>
        <v>135.41666666666666</v>
      </c>
      <c r="G66" s="44">
        <f t="shared" si="17"/>
        <v>37.100456621004561</v>
      </c>
    </row>
    <row r="67" spans="1:7" x14ac:dyDescent="0.25">
      <c r="A67" s="53" t="s">
        <v>13</v>
      </c>
      <c r="B67" s="13">
        <f t="shared" si="12"/>
        <v>3599.9999999999995</v>
      </c>
      <c r="C67" s="51">
        <f t="shared" si="14"/>
        <v>149.99999999999997</v>
      </c>
      <c r="D67" s="18">
        <f t="shared" si="15"/>
        <v>41.095890410958894</v>
      </c>
      <c r="E67" s="54">
        <f t="shared" si="13"/>
        <v>2842.1052631578941</v>
      </c>
      <c r="F67" s="28">
        <f t="shared" si="16"/>
        <v>118.42105263157892</v>
      </c>
      <c r="G67" s="44">
        <f t="shared" si="17"/>
        <v>32.444124008651762</v>
      </c>
    </row>
    <row r="68" spans="1:7" x14ac:dyDescent="0.25">
      <c r="A68" s="53" t="s">
        <v>14</v>
      </c>
      <c r="B68" s="13">
        <f t="shared" si="12"/>
        <v>4015.1515151515155</v>
      </c>
      <c r="C68" s="51">
        <f t="shared" si="14"/>
        <v>167.29797979797982</v>
      </c>
      <c r="D68" s="18">
        <f t="shared" si="15"/>
        <v>45.835062958350633</v>
      </c>
      <c r="E68" s="54">
        <f t="shared" si="13"/>
        <v>3581.0810810810817</v>
      </c>
      <c r="F68" s="28">
        <f t="shared" si="16"/>
        <v>149.21171171171173</v>
      </c>
      <c r="G68" s="44">
        <f t="shared" si="17"/>
        <v>40.879921016907325</v>
      </c>
    </row>
    <row r="69" spans="1:7" x14ac:dyDescent="0.25">
      <c r="A69" s="53" t="s">
        <v>15</v>
      </c>
      <c r="B69" s="13">
        <f t="shared" si="12"/>
        <v>4015.1515151515155</v>
      </c>
      <c r="C69" s="51">
        <f t="shared" si="14"/>
        <v>167.29797979797982</v>
      </c>
      <c r="D69" s="18">
        <f t="shared" si="15"/>
        <v>45.835062958350633</v>
      </c>
      <c r="E69" s="54">
        <f t="shared" si="13"/>
        <v>3581.0810810810817</v>
      </c>
      <c r="F69" s="28">
        <f t="shared" si="16"/>
        <v>149.21171171171173</v>
      </c>
      <c r="G69" s="44">
        <f t="shared" si="17"/>
        <v>40.879921016907325</v>
      </c>
    </row>
    <row r="70" spans="1:7" x14ac:dyDescent="0.25">
      <c r="A70" s="53" t="s">
        <v>16</v>
      </c>
      <c r="B70" s="13">
        <f t="shared" si="12"/>
        <v>4015.1515151515155</v>
      </c>
      <c r="C70" s="51">
        <f t="shared" si="14"/>
        <v>167.29797979797982</v>
      </c>
      <c r="D70" s="18">
        <f t="shared" si="15"/>
        <v>45.835062958350633</v>
      </c>
      <c r="E70" s="54">
        <f t="shared" si="13"/>
        <v>3581.0810810810817</v>
      </c>
      <c r="F70" s="28">
        <f t="shared" si="16"/>
        <v>149.21171171171173</v>
      </c>
      <c r="G70" s="44">
        <f t="shared" si="17"/>
        <v>40.879921016907325</v>
      </c>
    </row>
    <row r="71" spans="1:7" x14ac:dyDescent="0.25">
      <c r="A71" s="53" t="s">
        <v>17</v>
      </c>
      <c r="B71" s="13">
        <f t="shared" si="12"/>
        <v>4136.363636363636</v>
      </c>
      <c r="C71" s="51">
        <f t="shared" si="14"/>
        <v>172.34848484848484</v>
      </c>
      <c r="D71" s="18">
        <f t="shared" si="15"/>
        <v>47.218762972187626</v>
      </c>
      <c r="E71" s="54">
        <f t="shared" si="13"/>
        <v>2757.5757575757575</v>
      </c>
      <c r="F71" s="28">
        <f t="shared" si="16"/>
        <v>114.8989898989899</v>
      </c>
      <c r="G71" s="44">
        <f t="shared" si="17"/>
        <v>31.479175314791753</v>
      </c>
    </row>
    <row r="72" spans="1:7" x14ac:dyDescent="0.25">
      <c r="A72" s="53" t="s">
        <v>18</v>
      </c>
      <c r="B72" s="13">
        <f t="shared" si="12"/>
        <v>4136.363636363636</v>
      </c>
      <c r="C72" s="51">
        <f t="shared" si="14"/>
        <v>172.34848484848484</v>
      </c>
      <c r="D72" s="18">
        <f t="shared" si="15"/>
        <v>47.218762972187626</v>
      </c>
      <c r="E72" s="54">
        <f t="shared" si="13"/>
        <v>2757.5757575757575</v>
      </c>
      <c r="F72" s="28">
        <f t="shared" si="16"/>
        <v>114.8989898989899</v>
      </c>
      <c r="G72" s="44">
        <f t="shared" si="17"/>
        <v>31.479175314791753</v>
      </c>
    </row>
    <row r="73" spans="1:7" ht="15.75" thickBot="1" x14ac:dyDescent="0.3">
      <c r="A73" s="56" t="s">
        <v>19</v>
      </c>
      <c r="B73" s="15" t="s">
        <v>20</v>
      </c>
      <c r="C73" s="15" t="s">
        <v>20</v>
      </c>
      <c r="D73" s="15" t="s">
        <v>20</v>
      </c>
      <c r="E73" s="59" t="s">
        <v>20</v>
      </c>
      <c r="F73" s="31" t="s">
        <v>20</v>
      </c>
      <c r="G73" s="21" t="s">
        <v>20</v>
      </c>
    </row>
    <row r="74" spans="1:7" x14ac:dyDescent="0.25">
      <c r="A74" s="2" t="s">
        <v>46</v>
      </c>
      <c r="B74" s="3" t="s">
        <v>52</v>
      </c>
      <c r="C74" s="3" t="s">
        <v>52</v>
      </c>
      <c r="D74" s="8" t="s">
        <v>52</v>
      </c>
      <c r="E74" s="47" t="s">
        <v>52</v>
      </c>
      <c r="F74" s="3" t="s">
        <v>52</v>
      </c>
      <c r="G74" s="3" t="s">
        <v>52</v>
      </c>
    </row>
    <row r="75" spans="1:7" x14ac:dyDescent="0.25">
      <c r="A75" s="4" t="s">
        <v>6</v>
      </c>
      <c r="B75" s="5" t="s">
        <v>7</v>
      </c>
      <c r="C75" s="34" t="s">
        <v>7</v>
      </c>
      <c r="D75" s="16" t="s">
        <v>7</v>
      </c>
      <c r="E75" s="48" t="s">
        <v>21</v>
      </c>
      <c r="F75" s="34" t="s">
        <v>21</v>
      </c>
      <c r="G75" s="16" t="s">
        <v>21</v>
      </c>
    </row>
    <row r="76" spans="1:7" ht="15.75" thickBot="1" x14ac:dyDescent="0.3">
      <c r="A76" s="6" t="s">
        <v>48</v>
      </c>
      <c r="B76" s="7" t="s">
        <v>49</v>
      </c>
      <c r="C76" s="35" t="s">
        <v>50</v>
      </c>
      <c r="D76" s="17" t="s">
        <v>51</v>
      </c>
      <c r="E76" s="49" t="s">
        <v>49</v>
      </c>
      <c r="F76" s="35" t="s">
        <v>50</v>
      </c>
      <c r="G76" s="17" t="s">
        <v>51</v>
      </c>
    </row>
    <row r="77" spans="1:7" x14ac:dyDescent="0.25">
      <c r="A77" s="50" t="s">
        <v>10</v>
      </c>
      <c r="B77" s="10">
        <f t="shared" ref="B77:B85" si="18">G50/(B50-D50)</f>
        <v>6363.636363636364</v>
      </c>
      <c r="C77" s="51">
        <f>B77/24</f>
        <v>265.15151515151518</v>
      </c>
      <c r="D77" s="18">
        <f>(C77/1095)*100</f>
        <v>24.214750242147506</v>
      </c>
      <c r="E77" s="52">
        <f t="shared" ref="E77:E85" si="19">G50/(C50-E50)</f>
        <v>4999.9999999999991</v>
      </c>
      <c r="F77" s="28">
        <f>E77/24</f>
        <v>208.33333333333329</v>
      </c>
      <c r="G77" s="44">
        <f>(F77/1095)*100</f>
        <v>19.025875190258748</v>
      </c>
    </row>
    <row r="78" spans="1:7" x14ac:dyDescent="0.25">
      <c r="A78" s="53" t="s">
        <v>11</v>
      </c>
      <c r="B78" s="10">
        <f t="shared" si="18"/>
        <v>6363.636363636364</v>
      </c>
      <c r="C78" s="51">
        <f t="shared" ref="C78:C85" si="20">B78/24</f>
        <v>265.15151515151518</v>
      </c>
      <c r="D78" s="18">
        <f t="shared" ref="D78:D85" si="21">(C78/1095)*100</f>
        <v>24.214750242147506</v>
      </c>
      <c r="E78" s="52">
        <f t="shared" si="19"/>
        <v>4999.9999999999991</v>
      </c>
      <c r="F78" s="28">
        <f t="shared" ref="F78:F85" si="22">E78/24</f>
        <v>208.33333333333329</v>
      </c>
      <c r="G78" s="44">
        <f t="shared" ref="G78:G85" si="23">(F78/1095)*100</f>
        <v>19.025875190258748</v>
      </c>
    </row>
    <row r="79" spans="1:7" x14ac:dyDescent="0.25">
      <c r="A79" s="53" t="s">
        <v>12</v>
      </c>
      <c r="B79" s="10">
        <f t="shared" si="18"/>
        <v>6363.636363636364</v>
      </c>
      <c r="C79" s="51">
        <f t="shared" si="20"/>
        <v>265.15151515151518</v>
      </c>
      <c r="D79" s="18">
        <f t="shared" si="21"/>
        <v>24.214750242147506</v>
      </c>
      <c r="E79" s="52">
        <f t="shared" si="19"/>
        <v>4999.9999999999991</v>
      </c>
      <c r="F79" s="28">
        <f t="shared" si="22"/>
        <v>208.33333333333329</v>
      </c>
      <c r="G79" s="44">
        <f t="shared" si="23"/>
        <v>19.025875190258748</v>
      </c>
    </row>
    <row r="80" spans="1:7" x14ac:dyDescent="0.25">
      <c r="A80" s="53" t="s">
        <v>13</v>
      </c>
      <c r="B80" s="10">
        <f t="shared" si="18"/>
        <v>5466.6666666666661</v>
      </c>
      <c r="C80" s="51">
        <f t="shared" si="20"/>
        <v>227.77777777777774</v>
      </c>
      <c r="D80" s="18">
        <f t="shared" si="21"/>
        <v>20.801623541349564</v>
      </c>
      <c r="E80" s="52">
        <f t="shared" si="19"/>
        <v>4315.78947368421</v>
      </c>
      <c r="F80" s="28">
        <f t="shared" si="22"/>
        <v>179.82456140350874</v>
      </c>
      <c r="G80" s="44">
        <f t="shared" si="23"/>
        <v>16.422334374749656</v>
      </c>
    </row>
    <row r="81" spans="1:7" x14ac:dyDescent="0.25">
      <c r="A81" s="53" t="s">
        <v>14</v>
      </c>
      <c r="B81" s="10">
        <f t="shared" si="18"/>
        <v>6060.606060606061</v>
      </c>
      <c r="C81" s="51">
        <f t="shared" si="20"/>
        <v>252.52525252525254</v>
      </c>
      <c r="D81" s="18">
        <f t="shared" si="21"/>
        <v>23.061666897283338</v>
      </c>
      <c r="E81" s="52">
        <f t="shared" si="19"/>
        <v>5405.4054054054059</v>
      </c>
      <c r="F81" s="28">
        <f t="shared" si="22"/>
        <v>225.22522522522524</v>
      </c>
      <c r="G81" s="44">
        <f t="shared" si="23"/>
        <v>20.568513719198652</v>
      </c>
    </row>
    <row r="82" spans="1:7" x14ac:dyDescent="0.25">
      <c r="A82" s="53" t="s">
        <v>15</v>
      </c>
      <c r="B82" s="10">
        <f t="shared" si="18"/>
        <v>6060.606060606061</v>
      </c>
      <c r="C82" s="51">
        <f t="shared" si="20"/>
        <v>252.52525252525254</v>
      </c>
      <c r="D82" s="18">
        <f t="shared" si="21"/>
        <v>23.061666897283338</v>
      </c>
      <c r="E82" s="52">
        <f t="shared" si="19"/>
        <v>5405.4054054054059</v>
      </c>
      <c r="F82" s="28">
        <f t="shared" si="22"/>
        <v>225.22522522522524</v>
      </c>
      <c r="G82" s="44">
        <f t="shared" si="23"/>
        <v>20.568513719198652</v>
      </c>
    </row>
    <row r="83" spans="1:7" x14ac:dyDescent="0.25">
      <c r="A83" s="53" t="s">
        <v>16</v>
      </c>
      <c r="B83" s="10">
        <f t="shared" si="18"/>
        <v>6060.606060606061</v>
      </c>
      <c r="C83" s="51">
        <f t="shared" si="20"/>
        <v>252.52525252525254</v>
      </c>
      <c r="D83" s="18">
        <f t="shared" si="21"/>
        <v>23.061666897283338</v>
      </c>
      <c r="E83" s="52">
        <f t="shared" si="19"/>
        <v>5405.4054054054059</v>
      </c>
      <c r="F83" s="28">
        <f t="shared" si="22"/>
        <v>225.22522522522524</v>
      </c>
      <c r="G83" s="44">
        <f t="shared" si="23"/>
        <v>20.568513719198652</v>
      </c>
    </row>
    <row r="84" spans="1:7" x14ac:dyDescent="0.25">
      <c r="A84" s="53" t="s">
        <v>17</v>
      </c>
      <c r="B84" s="10">
        <f t="shared" si="18"/>
        <v>6363.636363636364</v>
      </c>
      <c r="C84" s="51">
        <f t="shared" si="20"/>
        <v>265.15151515151518</v>
      </c>
      <c r="D84" s="18">
        <f t="shared" si="21"/>
        <v>24.214750242147506</v>
      </c>
      <c r="E84" s="52">
        <f t="shared" si="19"/>
        <v>4242.424242424242</v>
      </c>
      <c r="F84" s="28">
        <f t="shared" si="22"/>
        <v>176.76767676767676</v>
      </c>
      <c r="G84" s="44">
        <f t="shared" si="23"/>
        <v>16.143166828098334</v>
      </c>
    </row>
    <row r="85" spans="1:7" x14ac:dyDescent="0.25">
      <c r="A85" s="53" t="s">
        <v>18</v>
      </c>
      <c r="B85" s="10">
        <f t="shared" si="18"/>
        <v>6363.636363636364</v>
      </c>
      <c r="C85" s="51">
        <f t="shared" si="20"/>
        <v>265.15151515151518</v>
      </c>
      <c r="D85" s="18">
        <f t="shared" si="21"/>
        <v>24.214750242147506</v>
      </c>
      <c r="E85" s="52">
        <f t="shared" si="19"/>
        <v>4242.424242424242</v>
      </c>
      <c r="F85" s="28">
        <f t="shared" si="22"/>
        <v>176.76767676767676</v>
      </c>
      <c r="G85" s="44">
        <f t="shared" si="23"/>
        <v>16.143166828098334</v>
      </c>
    </row>
    <row r="86" spans="1:7" ht="15.75" thickBot="1" x14ac:dyDescent="0.3">
      <c r="A86" s="56" t="s">
        <v>19</v>
      </c>
      <c r="B86" s="15" t="s">
        <v>20</v>
      </c>
      <c r="C86" s="15" t="s">
        <v>20</v>
      </c>
      <c r="D86" s="15" t="s">
        <v>20</v>
      </c>
      <c r="E86" s="59" t="s">
        <v>20</v>
      </c>
      <c r="F86" s="31" t="s">
        <v>20</v>
      </c>
      <c r="G86" s="21" t="s">
        <v>20</v>
      </c>
    </row>
    <row r="88" spans="1:7" ht="18.75" x14ac:dyDescent="0.3">
      <c r="A88" s="1" t="s">
        <v>118</v>
      </c>
      <c r="B88" s="40"/>
    </row>
    <row r="89" spans="1:7" ht="15.75" thickBot="1" x14ac:dyDescent="0.3"/>
    <row r="90" spans="1:7" x14ac:dyDescent="0.25">
      <c r="A90" s="41" t="s">
        <v>41</v>
      </c>
      <c r="B90" s="3" t="s">
        <v>54</v>
      </c>
      <c r="C90" s="33" t="s">
        <v>54</v>
      </c>
      <c r="D90" s="3" t="s">
        <v>43</v>
      </c>
      <c r="E90" s="32" t="s">
        <v>43</v>
      </c>
      <c r="F90" s="32" t="s">
        <v>43</v>
      </c>
      <c r="G90" s="33" t="s">
        <v>43</v>
      </c>
    </row>
    <row r="91" spans="1:7" x14ac:dyDescent="0.25">
      <c r="A91" s="42" t="s">
        <v>6</v>
      </c>
      <c r="B91" s="5" t="s">
        <v>7</v>
      </c>
      <c r="C91" s="16" t="s">
        <v>21</v>
      </c>
      <c r="D91" s="5" t="s">
        <v>7</v>
      </c>
      <c r="E91" s="34" t="s">
        <v>21</v>
      </c>
      <c r="F91" s="34"/>
      <c r="G91" s="16"/>
    </row>
    <row r="92" spans="1:7" ht="15.75" thickBot="1" x14ac:dyDescent="0.3">
      <c r="A92" s="43" t="s">
        <v>8</v>
      </c>
      <c r="B92" s="7" t="s">
        <v>9</v>
      </c>
      <c r="C92" s="17" t="s">
        <v>9</v>
      </c>
      <c r="D92" s="7" t="s">
        <v>9</v>
      </c>
      <c r="E92" s="35" t="s">
        <v>9</v>
      </c>
      <c r="F92" s="35" t="s">
        <v>44</v>
      </c>
      <c r="G92" s="17" t="s">
        <v>45</v>
      </c>
    </row>
    <row r="93" spans="1:7" x14ac:dyDescent="0.25">
      <c r="A93" s="8" t="s">
        <v>10</v>
      </c>
      <c r="B93" s="10">
        <v>9.5000000000000001E-2</v>
      </c>
      <c r="C93" s="18">
        <v>0.12</v>
      </c>
      <c r="D93" s="23">
        <v>0.04</v>
      </c>
      <c r="E93" s="28">
        <v>0.06</v>
      </c>
      <c r="F93" s="28">
        <v>227.5</v>
      </c>
      <c r="G93" s="44">
        <v>350</v>
      </c>
    </row>
    <row r="94" spans="1:7" x14ac:dyDescent="0.25">
      <c r="A94" s="11" t="s">
        <v>11</v>
      </c>
      <c r="B94" s="13">
        <v>0.38</v>
      </c>
      <c r="C94" s="20">
        <v>0.48</v>
      </c>
      <c r="D94" s="25">
        <v>0.16</v>
      </c>
      <c r="E94" s="30">
        <v>0.24</v>
      </c>
      <c r="F94" s="45">
        <v>910</v>
      </c>
      <c r="G94" s="46">
        <v>1400</v>
      </c>
    </row>
    <row r="95" spans="1:7" x14ac:dyDescent="0.25">
      <c r="A95" s="11" t="s">
        <v>12</v>
      </c>
      <c r="B95" s="13">
        <v>0.76</v>
      </c>
      <c r="C95" s="20">
        <v>0.96</v>
      </c>
      <c r="D95" s="25">
        <v>0.32</v>
      </c>
      <c r="E95" s="30">
        <v>0.48</v>
      </c>
      <c r="F95" s="30">
        <v>1820</v>
      </c>
      <c r="G95" s="38">
        <v>2800</v>
      </c>
    </row>
    <row r="96" spans="1:7" x14ac:dyDescent="0.25">
      <c r="A96" s="11" t="s">
        <v>13</v>
      </c>
      <c r="B96" s="13">
        <v>2.5000000000000001E-2</v>
      </c>
      <c r="C96" s="20">
        <v>3.5000000000000003E-2</v>
      </c>
      <c r="D96" s="25">
        <v>0.01</v>
      </c>
      <c r="E96" s="30">
        <v>1.6E-2</v>
      </c>
      <c r="F96" s="30">
        <v>54</v>
      </c>
      <c r="G96" s="38">
        <v>82</v>
      </c>
    </row>
    <row r="97" spans="1:7" x14ac:dyDescent="0.25">
      <c r="A97" s="11" t="s">
        <v>14</v>
      </c>
      <c r="B97" s="13">
        <v>0.56999999999999995</v>
      </c>
      <c r="C97" s="20">
        <v>0.62</v>
      </c>
      <c r="D97" s="25">
        <v>0.24</v>
      </c>
      <c r="E97" s="30">
        <v>0.32</v>
      </c>
      <c r="F97" s="30">
        <v>1325</v>
      </c>
      <c r="G97" s="38">
        <v>2000</v>
      </c>
    </row>
    <row r="98" spans="1:7" x14ac:dyDescent="0.25">
      <c r="A98" s="11" t="s">
        <v>15</v>
      </c>
      <c r="B98" s="13">
        <v>1.1399999999999999</v>
      </c>
      <c r="C98" s="20">
        <v>1.24</v>
      </c>
      <c r="D98" s="25">
        <v>0.48</v>
      </c>
      <c r="E98" s="30">
        <v>0.64</v>
      </c>
      <c r="F98" s="30">
        <v>2650</v>
      </c>
      <c r="G98" s="38">
        <v>4000</v>
      </c>
    </row>
    <row r="99" spans="1:7" x14ac:dyDescent="0.25">
      <c r="A99" s="11" t="s">
        <v>16</v>
      </c>
      <c r="B99" s="13">
        <v>2.2799999999999998</v>
      </c>
      <c r="C99" s="20">
        <v>2.48</v>
      </c>
      <c r="D99" s="25">
        <v>0.96</v>
      </c>
      <c r="E99" s="30">
        <v>1.28</v>
      </c>
      <c r="F99" s="30">
        <v>5300</v>
      </c>
      <c r="G99" s="38">
        <v>8000</v>
      </c>
    </row>
    <row r="100" spans="1:7" x14ac:dyDescent="0.25">
      <c r="A100" s="11" t="s">
        <v>17</v>
      </c>
      <c r="B100" s="13">
        <v>0.19</v>
      </c>
      <c r="C100" s="20">
        <v>0.28999999999999998</v>
      </c>
      <c r="D100" s="25">
        <v>0.08</v>
      </c>
      <c r="E100" s="30">
        <v>0.14499999999999999</v>
      </c>
      <c r="F100" s="30">
        <v>455</v>
      </c>
      <c r="G100" s="38">
        <v>700</v>
      </c>
    </row>
    <row r="101" spans="1:7" x14ac:dyDescent="0.25">
      <c r="A101" s="11" t="s">
        <v>18</v>
      </c>
      <c r="B101" s="13">
        <v>0.76</v>
      </c>
      <c r="C101" s="20">
        <v>1.1599999999999999</v>
      </c>
      <c r="D101" s="25">
        <v>0.32</v>
      </c>
      <c r="E101" s="30">
        <v>0.57999999999999996</v>
      </c>
      <c r="F101" s="30">
        <v>1820</v>
      </c>
      <c r="G101" s="38">
        <v>2800</v>
      </c>
    </row>
    <row r="102" spans="1:7" ht="15.75" thickBot="1" x14ac:dyDescent="0.3">
      <c r="A102" s="14" t="s">
        <v>19</v>
      </c>
      <c r="B102" s="15" t="s">
        <v>20</v>
      </c>
      <c r="C102" s="21" t="s">
        <v>20</v>
      </c>
      <c r="D102" s="15" t="s">
        <v>20</v>
      </c>
      <c r="E102" s="31" t="s">
        <v>20</v>
      </c>
      <c r="F102" s="31" t="s">
        <v>20</v>
      </c>
      <c r="G102" s="21" t="s">
        <v>20</v>
      </c>
    </row>
    <row r="103" spans="1:7" ht="15.75" thickBot="1" x14ac:dyDescent="0.3"/>
    <row r="104" spans="1:7" x14ac:dyDescent="0.25">
      <c r="A104" s="2" t="s">
        <v>46</v>
      </c>
      <c r="B104" s="3" t="s">
        <v>47</v>
      </c>
      <c r="C104" s="32" t="s">
        <v>47</v>
      </c>
      <c r="D104" s="33" t="s">
        <v>47</v>
      </c>
      <c r="E104" s="47" t="s">
        <v>47</v>
      </c>
      <c r="F104" s="32" t="s">
        <v>47</v>
      </c>
      <c r="G104" s="33" t="s">
        <v>47</v>
      </c>
    </row>
    <row r="105" spans="1:7" x14ac:dyDescent="0.25">
      <c r="A105" s="4" t="s">
        <v>6</v>
      </c>
      <c r="B105" s="5" t="s">
        <v>7</v>
      </c>
      <c r="C105" s="34" t="s">
        <v>7</v>
      </c>
      <c r="D105" s="16" t="s">
        <v>7</v>
      </c>
      <c r="E105" s="48" t="s">
        <v>21</v>
      </c>
      <c r="F105" s="34" t="s">
        <v>21</v>
      </c>
      <c r="G105" s="16" t="s">
        <v>21</v>
      </c>
    </row>
    <row r="106" spans="1:7" ht="15.75" thickBot="1" x14ac:dyDescent="0.3">
      <c r="A106" s="6" t="s">
        <v>48</v>
      </c>
      <c r="B106" s="7" t="s">
        <v>49</v>
      </c>
      <c r="C106" s="35" t="s">
        <v>50</v>
      </c>
      <c r="D106" s="17" t="s">
        <v>51</v>
      </c>
      <c r="E106" s="49" t="s">
        <v>49</v>
      </c>
      <c r="F106" s="35" t="s">
        <v>50</v>
      </c>
      <c r="G106" s="17" t="s">
        <v>51</v>
      </c>
    </row>
    <row r="107" spans="1:7" x14ac:dyDescent="0.25">
      <c r="A107" s="50" t="s">
        <v>10</v>
      </c>
      <c r="B107" s="10">
        <f t="shared" ref="B107:B115" si="24">F93/(B93-D93)</f>
        <v>4136.363636363636</v>
      </c>
      <c r="C107" s="51">
        <f>B107/24</f>
        <v>172.34848484848484</v>
      </c>
      <c r="D107" s="18">
        <f>(C107/365)*100</f>
        <v>47.218762972187626</v>
      </c>
      <c r="E107" s="52">
        <f t="shared" ref="E107:E115" si="25">F93/(C93-E93)</f>
        <v>3791.666666666667</v>
      </c>
      <c r="F107" s="28">
        <f>E107/24</f>
        <v>157.98611111111111</v>
      </c>
      <c r="G107" s="44">
        <f>(F107/365)*100</f>
        <v>43.283866057838658</v>
      </c>
    </row>
    <row r="108" spans="1:7" x14ac:dyDescent="0.25">
      <c r="A108" s="53" t="s">
        <v>11</v>
      </c>
      <c r="B108" s="13">
        <f t="shared" si="24"/>
        <v>4136.363636363636</v>
      </c>
      <c r="C108" s="51">
        <f t="shared" ref="C108:C115" si="26">B108/24</f>
        <v>172.34848484848484</v>
      </c>
      <c r="D108" s="18">
        <f t="shared" ref="D108:D115" si="27">(C108/365)*100</f>
        <v>47.218762972187626</v>
      </c>
      <c r="E108" s="54">
        <f t="shared" si="25"/>
        <v>3791.666666666667</v>
      </c>
      <c r="F108" s="28">
        <f t="shared" ref="F108:F115" si="28">E108/24</f>
        <v>157.98611111111111</v>
      </c>
      <c r="G108" s="44">
        <f t="shared" ref="G108:G115" si="29">(F108/365)*100</f>
        <v>43.283866057838658</v>
      </c>
    </row>
    <row r="109" spans="1:7" x14ac:dyDescent="0.25">
      <c r="A109" s="53" t="s">
        <v>12</v>
      </c>
      <c r="B109" s="13">
        <f t="shared" si="24"/>
        <v>4136.363636363636</v>
      </c>
      <c r="C109" s="51">
        <f t="shared" si="26"/>
        <v>172.34848484848484</v>
      </c>
      <c r="D109" s="18">
        <f t="shared" si="27"/>
        <v>47.218762972187626</v>
      </c>
      <c r="E109" s="54">
        <f t="shared" si="25"/>
        <v>3791.666666666667</v>
      </c>
      <c r="F109" s="28">
        <f t="shared" si="28"/>
        <v>157.98611111111111</v>
      </c>
      <c r="G109" s="44">
        <f t="shared" si="29"/>
        <v>43.283866057838658</v>
      </c>
    </row>
    <row r="110" spans="1:7" x14ac:dyDescent="0.25">
      <c r="A110" s="53" t="s">
        <v>13</v>
      </c>
      <c r="B110" s="13">
        <f t="shared" si="24"/>
        <v>3599.9999999999995</v>
      </c>
      <c r="C110" s="51">
        <f t="shared" si="26"/>
        <v>149.99999999999997</v>
      </c>
      <c r="D110" s="18">
        <f t="shared" si="27"/>
        <v>41.095890410958894</v>
      </c>
      <c r="E110" s="54">
        <f t="shared" si="25"/>
        <v>2842.1052631578941</v>
      </c>
      <c r="F110" s="28">
        <f t="shared" si="28"/>
        <v>118.42105263157892</v>
      </c>
      <c r="G110" s="44">
        <f t="shared" si="29"/>
        <v>32.444124008651762</v>
      </c>
    </row>
    <row r="111" spans="1:7" x14ac:dyDescent="0.25">
      <c r="A111" s="53" t="s">
        <v>14</v>
      </c>
      <c r="B111" s="13">
        <f t="shared" si="24"/>
        <v>4015.1515151515155</v>
      </c>
      <c r="C111" s="51">
        <f t="shared" si="26"/>
        <v>167.29797979797982</v>
      </c>
      <c r="D111" s="18">
        <f t="shared" si="27"/>
        <v>45.835062958350633</v>
      </c>
      <c r="E111" s="54">
        <f t="shared" si="25"/>
        <v>4416.666666666667</v>
      </c>
      <c r="F111" s="28">
        <f t="shared" si="28"/>
        <v>184.0277777777778</v>
      </c>
      <c r="G111" s="44">
        <f t="shared" si="29"/>
        <v>50.418569254185698</v>
      </c>
    </row>
    <row r="112" spans="1:7" x14ac:dyDescent="0.25">
      <c r="A112" s="53" t="s">
        <v>15</v>
      </c>
      <c r="B112" s="13">
        <f t="shared" si="24"/>
        <v>4015.1515151515155</v>
      </c>
      <c r="C112" s="51">
        <f t="shared" si="26"/>
        <v>167.29797979797982</v>
      </c>
      <c r="D112" s="18">
        <f t="shared" si="27"/>
        <v>45.835062958350633</v>
      </c>
      <c r="E112" s="54">
        <f t="shared" si="25"/>
        <v>4416.666666666667</v>
      </c>
      <c r="F112" s="28">
        <f t="shared" si="28"/>
        <v>184.0277777777778</v>
      </c>
      <c r="G112" s="44">
        <f t="shared" si="29"/>
        <v>50.418569254185698</v>
      </c>
    </row>
    <row r="113" spans="1:7" x14ac:dyDescent="0.25">
      <c r="A113" s="53" t="s">
        <v>16</v>
      </c>
      <c r="B113" s="13">
        <f t="shared" si="24"/>
        <v>4015.1515151515155</v>
      </c>
      <c r="C113" s="51">
        <f t="shared" si="26"/>
        <v>167.29797979797982</v>
      </c>
      <c r="D113" s="18">
        <f t="shared" si="27"/>
        <v>45.835062958350633</v>
      </c>
      <c r="E113" s="54">
        <f t="shared" si="25"/>
        <v>4416.666666666667</v>
      </c>
      <c r="F113" s="28">
        <f t="shared" si="28"/>
        <v>184.0277777777778</v>
      </c>
      <c r="G113" s="44">
        <f t="shared" si="29"/>
        <v>50.418569254185698</v>
      </c>
    </row>
    <row r="114" spans="1:7" x14ac:dyDescent="0.25">
      <c r="A114" s="53" t="s">
        <v>17</v>
      </c>
      <c r="B114" s="13">
        <f t="shared" si="24"/>
        <v>4136.363636363636</v>
      </c>
      <c r="C114" s="51">
        <f t="shared" si="26"/>
        <v>172.34848484848484</v>
      </c>
      <c r="D114" s="18">
        <f t="shared" si="27"/>
        <v>47.218762972187626</v>
      </c>
      <c r="E114" s="54">
        <f t="shared" si="25"/>
        <v>3137.9310344827591</v>
      </c>
      <c r="F114" s="28">
        <f t="shared" si="28"/>
        <v>130.74712643678163</v>
      </c>
      <c r="G114" s="44">
        <f t="shared" si="29"/>
        <v>35.821130530625105</v>
      </c>
    </row>
    <row r="115" spans="1:7" x14ac:dyDescent="0.25">
      <c r="A115" s="53" t="s">
        <v>18</v>
      </c>
      <c r="B115" s="13">
        <f t="shared" si="24"/>
        <v>4136.363636363636</v>
      </c>
      <c r="C115" s="51">
        <f t="shared" si="26"/>
        <v>172.34848484848484</v>
      </c>
      <c r="D115" s="18">
        <f t="shared" si="27"/>
        <v>47.218762972187626</v>
      </c>
      <c r="E115" s="54">
        <f t="shared" si="25"/>
        <v>3137.9310344827591</v>
      </c>
      <c r="F115" s="28">
        <f t="shared" si="28"/>
        <v>130.74712643678163</v>
      </c>
      <c r="G115" s="44">
        <f t="shared" si="29"/>
        <v>35.821130530625105</v>
      </c>
    </row>
    <row r="116" spans="1:7" ht="15.75" thickBot="1" x14ac:dyDescent="0.3">
      <c r="A116" s="56" t="s">
        <v>19</v>
      </c>
      <c r="B116" s="59" t="s">
        <v>20</v>
      </c>
      <c r="C116" s="59" t="s">
        <v>20</v>
      </c>
      <c r="D116" s="59" t="s">
        <v>20</v>
      </c>
      <c r="E116" s="59" t="s">
        <v>20</v>
      </c>
      <c r="F116" s="31" t="s">
        <v>20</v>
      </c>
      <c r="G116" s="21" t="s">
        <v>20</v>
      </c>
    </row>
    <row r="117" spans="1:7" x14ac:dyDescent="0.25">
      <c r="A117" s="2" t="s">
        <v>46</v>
      </c>
      <c r="B117" s="3" t="s">
        <v>52</v>
      </c>
      <c r="C117" s="3" t="s">
        <v>52</v>
      </c>
      <c r="D117" s="8" t="s">
        <v>52</v>
      </c>
      <c r="E117" s="47" t="s">
        <v>52</v>
      </c>
      <c r="F117" s="3" t="s">
        <v>52</v>
      </c>
      <c r="G117" s="3" t="s">
        <v>52</v>
      </c>
    </row>
    <row r="118" spans="1:7" x14ac:dyDescent="0.25">
      <c r="A118" s="4" t="s">
        <v>6</v>
      </c>
      <c r="B118" s="5" t="s">
        <v>7</v>
      </c>
      <c r="C118" s="34" t="s">
        <v>7</v>
      </c>
      <c r="D118" s="16" t="s">
        <v>7</v>
      </c>
      <c r="E118" s="48" t="s">
        <v>21</v>
      </c>
      <c r="F118" s="34" t="s">
        <v>21</v>
      </c>
      <c r="G118" s="16" t="s">
        <v>21</v>
      </c>
    </row>
    <row r="119" spans="1:7" ht="15.75" thickBot="1" x14ac:dyDescent="0.3">
      <c r="A119" s="6" t="s">
        <v>48</v>
      </c>
      <c r="B119" s="7" t="s">
        <v>49</v>
      </c>
      <c r="C119" s="35" t="s">
        <v>50</v>
      </c>
      <c r="D119" s="17" t="s">
        <v>51</v>
      </c>
      <c r="E119" s="49" t="s">
        <v>49</v>
      </c>
      <c r="F119" s="35" t="s">
        <v>50</v>
      </c>
      <c r="G119" s="17" t="s">
        <v>51</v>
      </c>
    </row>
    <row r="120" spans="1:7" x14ac:dyDescent="0.25">
      <c r="A120" s="50" t="s">
        <v>10</v>
      </c>
      <c r="B120" s="10">
        <f t="shared" ref="B120:B128" si="30">G93/(B93-D93)</f>
        <v>6363.636363636364</v>
      </c>
      <c r="C120" s="51">
        <f>B120/24</f>
        <v>265.15151515151518</v>
      </c>
      <c r="D120" s="18">
        <f>(C120/1095)*100</f>
        <v>24.214750242147506</v>
      </c>
      <c r="E120" s="52">
        <f t="shared" ref="E120:E128" si="31">G93/(C93-E93)</f>
        <v>5833.3333333333339</v>
      </c>
      <c r="F120" s="28">
        <f>E120/24</f>
        <v>243.05555555555557</v>
      </c>
      <c r="G120" s="44">
        <f>(F120/1095)*100</f>
        <v>22.196854388635213</v>
      </c>
    </row>
    <row r="121" spans="1:7" x14ac:dyDescent="0.25">
      <c r="A121" s="53" t="s">
        <v>11</v>
      </c>
      <c r="B121" s="10">
        <f t="shared" si="30"/>
        <v>6363.636363636364</v>
      </c>
      <c r="C121" s="51">
        <f t="shared" ref="C121:C128" si="32">B121/24</f>
        <v>265.15151515151518</v>
      </c>
      <c r="D121" s="18">
        <f t="shared" ref="D121:D128" si="33">(C121/1095)*100</f>
        <v>24.214750242147506</v>
      </c>
      <c r="E121" s="52">
        <f t="shared" si="31"/>
        <v>5833.3333333333339</v>
      </c>
      <c r="F121" s="28">
        <f t="shared" ref="F121:F128" si="34">E121/24</f>
        <v>243.05555555555557</v>
      </c>
      <c r="G121" s="44">
        <f t="shared" ref="G121:G128" si="35">(F121/1095)*100</f>
        <v>22.196854388635213</v>
      </c>
    </row>
    <row r="122" spans="1:7" x14ac:dyDescent="0.25">
      <c r="A122" s="53" t="s">
        <v>12</v>
      </c>
      <c r="B122" s="10">
        <f t="shared" si="30"/>
        <v>6363.636363636364</v>
      </c>
      <c r="C122" s="51">
        <f t="shared" si="32"/>
        <v>265.15151515151518</v>
      </c>
      <c r="D122" s="18">
        <f t="shared" si="33"/>
        <v>24.214750242147506</v>
      </c>
      <c r="E122" s="52">
        <f t="shared" si="31"/>
        <v>5833.3333333333339</v>
      </c>
      <c r="F122" s="28">
        <f t="shared" si="34"/>
        <v>243.05555555555557</v>
      </c>
      <c r="G122" s="44">
        <f t="shared" si="35"/>
        <v>22.196854388635213</v>
      </c>
    </row>
    <row r="123" spans="1:7" x14ac:dyDescent="0.25">
      <c r="A123" s="53" t="s">
        <v>13</v>
      </c>
      <c r="B123" s="10">
        <f t="shared" si="30"/>
        <v>5466.6666666666661</v>
      </c>
      <c r="C123" s="51">
        <f t="shared" si="32"/>
        <v>227.77777777777774</v>
      </c>
      <c r="D123" s="18">
        <f t="shared" si="33"/>
        <v>20.801623541349564</v>
      </c>
      <c r="E123" s="52">
        <f t="shared" si="31"/>
        <v>4315.78947368421</v>
      </c>
      <c r="F123" s="28">
        <f t="shared" si="34"/>
        <v>179.82456140350874</v>
      </c>
      <c r="G123" s="44">
        <f t="shared" si="35"/>
        <v>16.422334374749656</v>
      </c>
    </row>
    <row r="124" spans="1:7" x14ac:dyDescent="0.25">
      <c r="A124" s="53" t="s">
        <v>14</v>
      </c>
      <c r="B124" s="10">
        <f t="shared" si="30"/>
        <v>6060.606060606061</v>
      </c>
      <c r="C124" s="51">
        <f t="shared" si="32"/>
        <v>252.52525252525254</v>
      </c>
      <c r="D124" s="18">
        <f t="shared" si="33"/>
        <v>23.061666897283338</v>
      </c>
      <c r="E124" s="52">
        <f t="shared" si="31"/>
        <v>6666.666666666667</v>
      </c>
      <c r="F124" s="28">
        <f t="shared" si="34"/>
        <v>277.77777777777777</v>
      </c>
      <c r="G124" s="44">
        <f t="shared" si="35"/>
        <v>25.367833587011667</v>
      </c>
    </row>
    <row r="125" spans="1:7" x14ac:dyDescent="0.25">
      <c r="A125" s="53" t="s">
        <v>15</v>
      </c>
      <c r="B125" s="10">
        <f t="shared" si="30"/>
        <v>6060.606060606061</v>
      </c>
      <c r="C125" s="51">
        <f t="shared" si="32"/>
        <v>252.52525252525254</v>
      </c>
      <c r="D125" s="18">
        <f t="shared" si="33"/>
        <v>23.061666897283338</v>
      </c>
      <c r="E125" s="52">
        <f t="shared" si="31"/>
        <v>6666.666666666667</v>
      </c>
      <c r="F125" s="28">
        <f t="shared" si="34"/>
        <v>277.77777777777777</v>
      </c>
      <c r="G125" s="44">
        <f t="shared" si="35"/>
        <v>25.367833587011667</v>
      </c>
    </row>
    <row r="126" spans="1:7" x14ac:dyDescent="0.25">
      <c r="A126" s="53" t="s">
        <v>16</v>
      </c>
      <c r="B126" s="10">
        <f t="shared" si="30"/>
        <v>6060.606060606061</v>
      </c>
      <c r="C126" s="51">
        <f t="shared" si="32"/>
        <v>252.52525252525254</v>
      </c>
      <c r="D126" s="18">
        <f t="shared" si="33"/>
        <v>23.061666897283338</v>
      </c>
      <c r="E126" s="52">
        <f t="shared" si="31"/>
        <v>6666.666666666667</v>
      </c>
      <c r="F126" s="28">
        <f t="shared" si="34"/>
        <v>277.77777777777777</v>
      </c>
      <c r="G126" s="44">
        <f t="shared" si="35"/>
        <v>25.367833587011667</v>
      </c>
    </row>
    <row r="127" spans="1:7" x14ac:dyDescent="0.25">
      <c r="A127" s="53" t="s">
        <v>17</v>
      </c>
      <c r="B127" s="10">
        <f t="shared" si="30"/>
        <v>6363.636363636364</v>
      </c>
      <c r="C127" s="51">
        <f t="shared" si="32"/>
        <v>265.15151515151518</v>
      </c>
      <c r="D127" s="18">
        <f t="shared" si="33"/>
        <v>24.214750242147506</v>
      </c>
      <c r="E127" s="52">
        <f t="shared" si="31"/>
        <v>4827.5862068965516</v>
      </c>
      <c r="F127" s="28">
        <f t="shared" si="34"/>
        <v>201.14942528735631</v>
      </c>
      <c r="G127" s="44">
        <f t="shared" si="35"/>
        <v>18.36981052852569</v>
      </c>
    </row>
    <row r="128" spans="1:7" x14ac:dyDescent="0.25">
      <c r="A128" s="53" t="s">
        <v>18</v>
      </c>
      <c r="B128" s="10">
        <f t="shared" si="30"/>
        <v>6363.636363636364</v>
      </c>
      <c r="C128" s="51">
        <f t="shared" si="32"/>
        <v>265.15151515151518</v>
      </c>
      <c r="D128" s="18">
        <f t="shared" si="33"/>
        <v>24.214750242147506</v>
      </c>
      <c r="E128" s="52">
        <f t="shared" si="31"/>
        <v>4827.5862068965516</v>
      </c>
      <c r="F128" s="28">
        <f t="shared" si="34"/>
        <v>201.14942528735631</v>
      </c>
      <c r="G128" s="44">
        <f t="shared" si="35"/>
        <v>18.36981052852569</v>
      </c>
    </row>
    <row r="129" spans="1:7" ht="15.75" thickBot="1" x14ac:dyDescent="0.3">
      <c r="A129" s="56" t="s">
        <v>19</v>
      </c>
      <c r="B129" s="59" t="s">
        <v>20</v>
      </c>
      <c r="C129" s="59" t="s">
        <v>20</v>
      </c>
      <c r="D129" s="59" t="s">
        <v>20</v>
      </c>
      <c r="E129" s="59" t="s">
        <v>20</v>
      </c>
      <c r="F129" s="31" t="s">
        <v>20</v>
      </c>
      <c r="G129" s="21" t="s">
        <v>20</v>
      </c>
    </row>
    <row r="131" spans="1:7" ht="18.75" x14ac:dyDescent="0.3">
      <c r="A131" s="1" t="s">
        <v>119</v>
      </c>
      <c r="B131" s="40"/>
    </row>
    <row r="132" spans="1:7" ht="15.75" thickBot="1" x14ac:dyDescent="0.3"/>
    <row r="133" spans="1:7" x14ac:dyDescent="0.25">
      <c r="A133" s="41" t="s">
        <v>41</v>
      </c>
      <c r="B133" s="3" t="s">
        <v>54</v>
      </c>
      <c r="C133" s="33" t="s">
        <v>54</v>
      </c>
      <c r="D133" s="3" t="s">
        <v>43</v>
      </c>
      <c r="E133" s="32" t="s">
        <v>43</v>
      </c>
      <c r="F133" s="32" t="s">
        <v>43</v>
      </c>
      <c r="G133" s="33" t="s">
        <v>43</v>
      </c>
    </row>
    <row r="134" spans="1:7" x14ac:dyDescent="0.25">
      <c r="A134" s="42" t="s">
        <v>6</v>
      </c>
      <c r="B134" s="5" t="s">
        <v>7</v>
      </c>
      <c r="C134" s="16" t="s">
        <v>21</v>
      </c>
      <c r="D134" s="5" t="s">
        <v>7</v>
      </c>
      <c r="E134" s="34" t="s">
        <v>21</v>
      </c>
      <c r="F134" s="34"/>
      <c r="G134" s="16"/>
    </row>
    <row r="135" spans="1:7" ht="15.75" thickBot="1" x14ac:dyDescent="0.3">
      <c r="A135" s="43" t="s">
        <v>8</v>
      </c>
      <c r="B135" s="7" t="s">
        <v>9</v>
      </c>
      <c r="C135" s="17" t="s">
        <v>9</v>
      </c>
      <c r="D135" s="7" t="s">
        <v>9</v>
      </c>
      <c r="E135" s="35" t="s">
        <v>9</v>
      </c>
      <c r="F135" s="35" t="s">
        <v>44</v>
      </c>
      <c r="G135" s="17" t="s">
        <v>45</v>
      </c>
    </row>
    <row r="136" spans="1:7" x14ac:dyDescent="0.25">
      <c r="A136" s="8" t="s">
        <v>10</v>
      </c>
      <c r="B136" s="10">
        <v>9.5000000000000001E-2</v>
      </c>
      <c r="C136" s="18">
        <v>0.12</v>
      </c>
      <c r="D136" s="23">
        <v>0.04</v>
      </c>
      <c r="E136" s="28">
        <v>0.06</v>
      </c>
      <c r="F136" s="28">
        <v>227.5</v>
      </c>
      <c r="G136" s="44">
        <v>350</v>
      </c>
    </row>
    <row r="137" spans="1:7" x14ac:dyDescent="0.25">
      <c r="A137" s="11" t="s">
        <v>11</v>
      </c>
      <c r="B137" s="13">
        <v>0.38</v>
      </c>
      <c r="C137" s="20">
        <v>0.48</v>
      </c>
      <c r="D137" s="25">
        <v>0.16</v>
      </c>
      <c r="E137" s="30">
        <v>0.24</v>
      </c>
      <c r="F137" s="45">
        <v>910</v>
      </c>
      <c r="G137" s="46">
        <v>1400</v>
      </c>
    </row>
    <row r="138" spans="1:7" x14ac:dyDescent="0.25">
      <c r="A138" s="11" t="s">
        <v>12</v>
      </c>
      <c r="B138" s="13">
        <v>0.76</v>
      </c>
      <c r="C138" s="20">
        <v>0.96</v>
      </c>
      <c r="D138" s="25">
        <v>0.32</v>
      </c>
      <c r="E138" s="30">
        <v>0.48</v>
      </c>
      <c r="F138" s="30">
        <v>1820</v>
      </c>
      <c r="G138" s="38">
        <v>2800</v>
      </c>
    </row>
    <row r="139" spans="1:7" x14ac:dyDescent="0.25">
      <c r="A139" s="11" t="s">
        <v>13</v>
      </c>
      <c r="B139" s="13">
        <v>2.5000000000000001E-2</v>
      </c>
      <c r="C139" s="20">
        <v>3.5000000000000003E-2</v>
      </c>
      <c r="D139" s="25">
        <v>0.01</v>
      </c>
      <c r="E139" s="30">
        <v>1.6E-2</v>
      </c>
      <c r="F139" s="30">
        <v>54</v>
      </c>
      <c r="G139" s="38">
        <v>82</v>
      </c>
    </row>
    <row r="140" spans="1:7" x14ac:dyDescent="0.25">
      <c r="A140" s="11" t="s">
        <v>14</v>
      </c>
      <c r="B140" s="13">
        <v>0.56999999999999995</v>
      </c>
      <c r="C140" s="20">
        <v>0.62</v>
      </c>
      <c r="D140" s="25">
        <v>0.24</v>
      </c>
      <c r="E140" s="30">
        <v>0.32</v>
      </c>
      <c r="F140" s="30">
        <v>1325</v>
      </c>
      <c r="G140" s="38">
        <v>2000</v>
      </c>
    </row>
    <row r="141" spans="1:7" x14ac:dyDescent="0.25">
      <c r="A141" s="11" t="s">
        <v>15</v>
      </c>
      <c r="B141" s="13">
        <v>1.1399999999999999</v>
      </c>
      <c r="C141" s="20">
        <v>1.24</v>
      </c>
      <c r="D141" s="25">
        <v>0.48</v>
      </c>
      <c r="E141" s="30">
        <v>0.64</v>
      </c>
      <c r="F141" s="30">
        <v>2650</v>
      </c>
      <c r="G141" s="38">
        <v>4000</v>
      </c>
    </row>
    <row r="142" spans="1:7" x14ac:dyDescent="0.25">
      <c r="A142" s="11" t="s">
        <v>16</v>
      </c>
      <c r="B142" s="13">
        <v>2.2799999999999998</v>
      </c>
      <c r="C142" s="20">
        <v>2.48</v>
      </c>
      <c r="D142" s="25">
        <v>0.96</v>
      </c>
      <c r="E142" s="30">
        <v>1.28</v>
      </c>
      <c r="F142" s="30">
        <v>5300</v>
      </c>
      <c r="G142" s="38">
        <v>8000</v>
      </c>
    </row>
    <row r="143" spans="1:7" x14ac:dyDescent="0.25">
      <c r="A143" s="11" t="s">
        <v>17</v>
      </c>
      <c r="B143" s="13">
        <v>0.19</v>
      </c>
      <c r="C143" s="20">
        <v>0.28999999999999998</v>
      </c>
      <c r="D143" s="25">
        <v>0.08</v>
      </c>
      <c r="E143" s="30">
        <v>0.14499999999999999</v>
      </c>
      <c r="F143" s="30">
        <v>455</v>
      </c>
      <c r="G143" s="38">
        <v>700</v>
      </c>
    </row>
    <row r="144" spans="1:7" x14ac:dyDescent="0.25">
      <c r="A144" s="11" t="s">
        <v>18</v>
      </c>
      <c r="B144" s="13">
        <v>0.76</v>
      </c>
      <c r="C144" s="20">
        <v>1.1599999999999999</v>
      </c>
      <c r="D144" s="25">
        <v>0.32</v>
      </c>
      <c r="E144" s="30">
        <v>0.57999999999999996</v>
      </c>
      <c r="F144" s="30">
        <v>1820</v>
      </c>
      <c r="G144" s="38">
        <v>2800</v>
      </c>
    </row>
    <row r="145" spans="1:7" ht="15.75" thickBot="1" x14ac:dyDescent="0.3">
      <c r="A145" s="14" t="s">
        <v>19</v>
      </c>
      <c r="B145" s="15" t="s">
        <v>20</v>
      </c>
      <c r="C145" s="21" t="s">
        <v>20</v>
      </c>
      <c r="D145" s="15" t="s">
        <v>20</v>
      </c>
      <c r="E145" s="31" t="s">
        <v>20</v>
      </c>
      <c r="F145" s="31" t="s">
        <v>20</v>
      </c>
      <c r="G145" s="21" t="s">
        <v>20</v>
      </c>
    </row>
    <row r="146" spans="1:7" ht="15.75" thickBot="1" x14ac:dyDescent="0.3"/>
    <row r="147" spans="1:7" x14ac:dyDescent="0.25">
      <c r="A147" s="2" t="s">
        <v>46</v>
      </c>
      <c r="B147" s="3" t="s">
        <v>47</v>
      </c>
      <c r="C147" s="32" t="s">
        <v>47</v>
      </c>
      <c r="D147" s="33" t="s">
        <v>47</v>
      </c>
      <c r="E147" s="47" t="s">
        <v>47</v>
      </c>
      <c r="F147" s="32" t="s">
        <v>47</v>
      </c>
      <c r="G147" s="33" t="s">
        <v>47</v>
      </c>
    </row>
    <row r="148" spans="1:7" x14ac:dyDescent="0.25">
      <c r="A148" s="4" t="s">
        <v>6</v>
      </c>
      <c r="B148" s="5" t="s">
        <v>7</v>
      </c>
      <c r="C148" s="34" t="s">
        <v>7</v>
      </c>
      <c r="D148" s="16" t="s">
        <v>7</v>
      </c>
      <c r="E148" s="48" t="s">
        <v>21</v>
      </c>
      <c r="F148" s="34" t="s">
        <v>21</v>
      </c>
      <c r="G148" s="16" t="s">
        <v>21</v>
      </c>
    </row>
    <row r="149" spans="1:7" ht="15.75" thickBot="1" x14ac:dyDescent="0.3">
      <c r="A149" s="6" t="s">
        <v>48</v>
      </c>
      <c r="B149" s="7" t="s">
        <v>49</v>
      </c>
      <c r="C149" s="35" t="s">
        <v>50</v>
      </c>
      <c r="D149" s="17" t="s">
        <v>51</v>
      </c>
      <c r="E149" s="49" t="s">
        <v>49</v>
      </c>
      <c r="F149" s="35" t="s">
        <v>50</v>
      </c>
      <c r="G149" s="17" t="s">
        <v>51</v>
      </c>
    </row>
    <row r="150" spans="1:7" x14ac:dyDescent="0.25">
      <c r="A150" s="50" t="s">
        <v>10</v>
      </c>
      <c r="B150" s="10">
        <f t="shared" ref="B150:B158" si="36">F136/(B136-D136)</f>
        <v>4136.363636363636</v>
      </c>
      <c r="C150" s="51">
        <f>B150/24</f>
        <v>172.34848484848484</v>
      </c>
      <c r="D150" s="18">
        <f>(C150/365)*100</f>
        <v>47.218762972187626</v>
      </c>
      <c r="E150" s="52">
        <f t="shared" ref="E150:E158" si="37">F136/(C136-E136)</f>
        <v>3791.666666666667</v>
      </c>
      <c r="F150" s="28">
        <f>E150/24</f>
        <v>157.98611111111111</v>
      </c>
      <c r="G150" s="44">
        <f>(F150/365)*100</f>
        <v>43.283866057838658</v>
      </c>
    </row>
    <row r="151" spans="1:7" x14ac:dyDescent="0.25">
      <c r="A151" s="53" t="s">
        <v>11</v>
      </c>
      <c r="B151" s="13">
        <f t="shared" si="36"/>
        <v>4136.363636363636</v>
      </c>
      <c r="C151" s="51">
        <f t="shared" ref="C151:C158" si="38">B151/24</f>
        <v>172.34848484848484</v>
      </c>
      <c r="D151" s="18">
        <f t="shared" ref="D151:D158" si="39">(C151/365)*100</f>
        <v>47.218762972187626</v>
      </c>
      <c r="E151" s="54">
        <f t="shared" si="37"/>
        <v>3791.666666666667</v>
      </c>
      <c r="F151" s="28">
        <f t="shared" ref="F151:F158" si="40">E151/24</f>
        <v>157.98611111111111</v>
      </c>
      <c r="G151" s="44">
        <f t="shared" ref="G151:G158" si="41">(F151/365)*100</f>
        <v>43.283866057838658</v>
      </c>
    </row>
    <row r="152" spans="1:7" x14ac:dyDescent="0.25">
      <c r="A152" s="53" t="s">
        <v>12</v>
      </c>
      <c r="B152" s="13">
        <f t="shared" si="36"/>
        <v>4136.363636363636</v>
      </c>
      <c r="C152" s="51">
        <f t="shared" si="38"/>
        <v>172.34848484848484</v>
      </c>
      <c r="D152" s="18">
        <f t="shared" si="39"/>
        <v>47.218762972187626</v>
      </c>
      <c r="E152" s="54">
        <f t="shared" si="37"/>
        <v>3791.666666666667</v>
      </c>
      <c r="F152" s="28">
        <f t="shared" si="40"/>
        <v>157.98611111111111</v>
      </c>
      <c r="G152" s="44">
        <f t="shared" si="41"/>
        <v>43.283866057838658</v>
      </c>
    </row>
    <row r="153" spans="1:7" x14ac:dyDescent="0.25">
      <c r="A153" s="53" t="s">
        <v>13</v>
      </c>
      <c r="B153" s="13">
        <f t="shared" si="36"/>
        <v>3599.9999999999995</v>
      </c>
      <c r="C153" s="51">
        <f t="shared" si="38"/>
        <v>149.99999999999997</v>
      </c>
      <c r="D153" s="18">
        <f t="shared" si="39"/>
        <v>41.095890410958894</v>
      </c>
      <c r="E153" s="54">
        <f t="shared" si="37"/>
        <v>2842.1052631578941</v>
      </c>
      <c r="F153" s="28">
        <f t="shared" si="40"/>
        <v>118.42105263157892</v>
      </c>
      <c r="G153" s="44">
        <f t="shared" si="41"/>
        <v>32.444124008651762</v>
      </c>
    </row>
    <row r="154" spans="1:7" x14ac:dyDescent="0.25">
      <c r="A154" s="53" t="s">
        <v>14</v>
      </c>
      <c r="B154" s="13">
        <f t="shared" si="36"/>
        <v>4015.1515151515155</v>
      </c>
      <c r="C154" s="51">
        <f t="shared" si="38"/>
        <v>167.29797979797982</v>
      </c>
      <c r="D154" s="18">
        <f t="shared" si="39"/>
        <v>45.835062958350633</v>
      </c>
      <c r="E154" s="54">
        <f t="shared" si="37"/>
        <v>4416.666666666667</v>
      </c>
      <c r="F154" s="28">
        <f t="shared" si="40"/>
        <v>184.0277777777778</v>
      </c>
      <c r="G154" s="44">
        <f t="shared" si="41"/>
        <v>50.418569254185698</v>
      </c>
    </row>
    <row r="155" spans="1:7" x14ac:dyDescent="0.25">
      <c r="A155" s="53" t="s">
        <v>15</v>
      </c>
      <c r="B155" s="13">
        <f t="shared" si="36"/>
        <v>4015.1515151515155</v>
      </c>
      <c r="C155" s="51">
        <f t="shared" si="38"/>
        <v>167.29797979797982</v>
      </c>
      <c r="D155" s="18">
        <f t="shared" si="39"/>
        <v>45.835062958350633</v>
      </c>
      <c r="E155" s="54">
        <f t="shared" si="37"/>
        <v>4416.666666666667</v>
      </c>
      <c r="F155" s="28">
        <f t="shared" si="40"/>
        <v>184.0277777777778</v>
      </c>
      <c r="G155" s="44">
        <f t="shared" si="41"/>
        <v>50.418569254185698</v>
      </c>
    </row>
    <row r="156" spans="1:7" x14ac:dyDescent="0.25">
      <c r="A156" s="53" t="s">
        <v>16</v>
      </c>
      <c r="B156" s="13">
        <f t="shared" si="36"/>
        <v>4015.1515151515155</v>
      </c>
      <c r="C156" s="51">
        <f t="shared" si="38"/>
        <v>167.29797979797982</v>
      </c>
      <c r="D156" s="18">
        <f t="shared" si="39"/>
        <v>45.835062958350633</v>
      </c>
      <c r="E156" s="54">
        <f t="shared" si="37"/>
        <v>4416.666666666667</v>
      </c>
      <c r="F156" s="28">
        <f t="shared" si="40"/>
        <v>184.0277777777778</v>
      </c>
      <c r="G156" s="44">
        <f t="shared" si="41"/>
        <v>50.418569254185698</v>
      </c>
    </row>
    <row r="157" spans="1:7" x14ac:dyDescent="0.25">
      <c r="A157" s="53" t="s">
        <v>17</v>
      </c>
      <c r="B157" s="13">
        <f t="shared" si="36"/>
        <v>4136.363636363636</v>
      </c>
      <c r="C157" s="51">
        <f t="shared" si="38"/>
        <v>172.34848484848484</v>
      </c>
      <c r="D157" s="18">
        <f t="shared" si="39"/>
        <v>47.218762972187626</v>
      </c>
      <c r="E157" s="54">
        <f t="shared" si="37"/>
        <v>3137.9310344827591</v>
      </c>
      <c r="F157" s="28">
        <f t="shared" si="40"/>
        <v>130.74712643678163</v>
      </c>
      <c r="G157" s="44">
        <f t="shared" si="41"/>
        <v>35.821130530625105</v>
      </c>
    </row>
    <row r="158" spans="1:7" x14ac:dyDescent="0.25">
      <c r="A158" s="53" t="s">
        <v>18</v>
      </c>
      <c r="B158" s="13">
        <f t="shared" si="36"/>
        <v>4136.363636363636</v>
      </c>
      <c r="C158" s="51">
        <f t="shared" si="38"/>
        <v>172.34848484848484</v>
      </c>
      <c r="D158" s="18">
        <f t="shared" si="39"/>
        <v>47.218762972187626</v>
      </c>
      <c r="E158" s="54">
        <f t="shared" si="37"/>
        <v>3137.9310344827591</v>
      </c>
      <c r="F158" s="28">
        <f t="shared" si="40"/>
        <v>130.74712643678163</v>
      </c>
      <c r="G158" s="44">
        <f t="shared" si="41"/>
        <v>35.821130530625105</v>
      </c>
    </row>
    <row r="159" spans="1:7" ht="15.75" thickBot="1" x14ac:dyDescent="0.3">
      <c r="A159" s="56" t="s">
        <v>19</v>
      </c>
      <c r="B159" s="59" t="s">
        <v>20</v>
      </c>
      <c r="C159" s="59" t="s">
        <v>20</v>
      </c>
      <c r="D159" s="59" t="s">
        <v>20</v>
      </c>
      <c r="E159" s="59" t="s">
        <v>20</v>
      </c>
      <c r="F159" s="31" t="s">
        <v>20</v>
      </c>
      <c r="G159" s="21" t="s">
        <v>20</v>
      </c>
    </row>
    <row r="160" spans="1:7" x14ac:dyDescent="0.25">
      <c r="A160" s="2" t="s">
        <v>46</v>
      </c>
      <c r="B160" s="3" t="s">
        <v>52</v>
      </c>
      <c r="C160" s="3" t="s">
        <v>52</v>
      </c>
      <c r="D160" s="8" t="s">
        <v>52</v>
      </c>
      <c r="E160" s="47" t="s">
        <v>52</v>
      </c>
      <c r="F160" s="3" t="s">
        <v>52</v>
      </c>
      <c r="G160" s="3" t="s">
        <v>52</v>
      </c>
    </row>
    <row r="161" spans="1:7" x14ac:dyDescent="0.25">
      <c r="A161" s="4" t="s">
        <v>6</v>
      </c>
      <c r="B161" s="5" t="s">
        <v>7</v>
      </c>
      <c r="C161" s="34" t="s">
        <v>7</v>
      </c>
      <c r="D161" s="16" t="s">
        <v>7</v>
      </c>
      <c r="E161" s="48" t="s">
        <v>21</v>
      </c>
      <c r="F161" s="34" t="s">
        <v>21</v>
      </c>
      <c r="G161" s="16" t="s">
        <v>21</v>
      </c>
    </row>
    <row r="162" spans="1:7" ht="15.75" thickBot="1" x14ac:dyDescent="0.3">
      <c r="A162" s="6" t="s">
        <v>48</v>
      </c>
      <c r="B162" s="7" t="s">
        <v>49</v>
      </c>
      <c r="C162" s="35" t="s">
        <v>50</v>
      </c>
      <c r="D162" s="17" t="s">
        <v>51</v>
      </c>
      <c r="E162" s="49" t="s">
        <v>49</v>
      </c>
      <c r="F162" s="35" t="s">
        <v>50</v>
      </c>
      <c r="G162" s="17" t="s">
        <v>51</v>
      </c>
    </row>
    <row r="163" spans="1:7" x14ac:dyDescent="0.25">
      <c r="A163" s="50" t="s">
        <v>10</v>
      </c>
      <c r="B163" s="10">
        <f t="shared" ref="B163:B171" si="42">G136/(B136-D136)</f>
        <v>6363.636363636364</v>
      </c>
      <c r="C163" s="51">
        <f>B163/24</f>
        <v>265.15151515151518</v>
      </c>
      <c r="D163" s="18">
        <f>(C163/1095)*100</f>
        <v>24.214750242147506</v>
      </c>
      <c r="E163" s="52">
        <f t="shared" ref="E163:E171" si="43">G136/(C136-E136)</f>
        <v>5833.3333333333339</v>
      </c>
      <c r="F163" s="28">
        <f>E163/24</f>
        <v>243.05555555555557</v>
      </c>
      <c r="G163" s="44">
        <f>(F163/1095)*100</f>
        <v>22.196854388635213</v>
      </c>
    </row>
    <row r="164" spans="1:7" x14ac:dyDescent="0.25">
      <c r="A164" s="53" t="s">
        <v>11</v>
      </c>
      <c r="B164" s="10">
        <f t="shared" si="42"/>
        <v>6363.636363636364</v>
      </c>
      <c r="C164" s="51">
        <f t="shared" ref="C164:C171" si="44">B164/24</f>
        <v>265.15151515151518</v>
      </c>
      <c r="D164" s="18">
        <f t="shared" ref="D164:D171" si="45">(C164/1095)*100</f>
        <v>24.214750242147506</v>
      </c>
      <c r="E164" s="52">
        <f t="shared" si="43"/>
        <v>5833.3333333333339</v>
      </c>
      <c r="F164" s="28">
        <f t="shared" ref="F164:F171" si="46">E164/24</f>
        <v>243.05555555555557</v>
      </c>
      <c r="G164" s="44">
        <f t="shared" ref="G164:G171" si="47">(F164/1095)*100</f>
        <v>22.196854388635213</v>
      </c>
    </row>
    <row r="165" spans="1:7" x14ac:dyDescent="0.25">
      <c r="A165" s="53" t="s">
        <v>12</v>
      </c>
      <c r="B165" s="10">
        <f t="shared" si="42"/>
        <v>6363.636363636364</v>
      </c>
      <c r="C165" s="51">
        <f t="shared" si="44"/>
        <v>265.15151515151518</v>
      </c>
      <c r="D165" s="18">
        <f t="shared" si="45"/>
        <v>24.214750242147506</v>
      </c>
      <c r="E165" s="52">
        <f t="shared" si="43"/>
        <v>5833.3333333333339</v>
      </c>
      <c r="F165" s="28">
        <f t="shared" si="46"/>
        <v>243.05555555555557</v>
      </c>
      <c r="G165" s="44">
        <f t="shared" si="47"/>
        <v>22.196854388635213</v>
      </c>
    </row>
    <row r="166" spans="1:7" x14ac:dyDescent="0.25">
      <c r="A166" s="53" t="s">
        <v>13</v>
      </c>
      <c r="B166" s="10">
        <f t="shared" si="42"/>
        <v>5466.6666666666661</v>
      </c>
      <c r="C166" s="51">
        <f t="shared" si="44"/>
        <v>227.77777777777774</v>
      </c>
      <c r="D166" s="18">
        <f t="shared" si="45"/>
        <v>20.801623541349564</v>
      </c>
      <c r="E166" s="52">
        <f t="shared" si="43"/>
        <v>4315.78947368421</v>
      </c>
      <c r="F166" s="28">
        <f t="shared" si="46"/>
        <v>179.82456140350874</v>
      </c>
      <c r="G166" s="44">
        <f t="shared" si="47"/>
        <v>16.422334374749656</v>
      </c>
    </row>
    <row r="167" spans="1:7" x14ac:dyDescent="0.25">
      <c r="A167" s="53" t="s">
        <v>14</v>
      </c>
      <c r="B167" s="10">
        <f t="shared" si="42"/>
        <v>6060.606060606061</v>
      </c>
      <c r="C167" s="51">
        <f t="shared" si="44"/>
        <v>252.52525252525254</v>
      </c>
      <c r="D167" s="18">
        <f t="shared" si="45"/>
        <v>23.061666897283338</v>
      </c>
      <c r="E167" s="52">
        <f t="shared" si="43"/>
        <v>6666.666666666667</v>
      </c>
      <c r="F167" s="28">
        <f t="shared" si="46"/>
        <v>277.77777777777777</v>
      </c>
      <c r="G167" s="44">
        <f t="shared" si="47"/>
        <v>25.367833587011667</v>
      </c>
    </row>
    <row r="168" spans="1:7" x14ac:dyDescent="0.25">
      <c r="A168" s="53" t="s">
        <v>15</v>
      </c>
      <c r="B168" s="10">
        <f t="shared" si="42"/>
        <v>6060.606060606061</v>
      </c>
      <c r="C168" s="51">
        <f t="shared" si="44"/>
        <v>252.52525252525254</v>
      </c>
      <c r="D168" s="18">
        <f t="shared" si="45"/>
        <v>23.061666897283338</v>
      </c>
      <c r="E168" s="52">
        <f t="shared" si="43"/>
        <v>6666.666666666667</v>
      </c>
      <c r="F168" s="28">
        <f t="shared" si="46"/>
        <v>277.77777777777777</v>
      </c>
      <c r="G168" s="44">
        <f t="shared" si="47"/>
        <v>25.367833587011667</v>
      </c>
    </row>
    <row r="169" spans="1:7" x14ac:dyDescent="0.25">
      <c r="A169" s="53" t="s">
        <v>16</v>
      </c>
      <c r="B169" s="10">
        <f t="shared" si="42"/>
        <v>6060.606060606061</v>
      </c>
      <c r="C169" s="51">
        <f t="shared" si="44"/>
        <v>252.52525252525254</v>
      </c>
      <c r="D169" s="18">
        <f t="shared" si="45"/>
        <v>23.061666897283338</v>
      </c>
      <c r="E169" s="52">
        <f t="shared" si="43"/>
        <v>6666.666666666667</v>
      </c>
      <c r="F169" s="28">
        <f t="shared" si="46"/>
        <v>277.77777777777777</v>
      </c>
      <c r="G169" s="44">
        <f t="shared" si="47"/>
        <v>25.367833587011667</v>
      </c>
    </row>
    <row r="170" spans="1:7" x14ac:dyDescent="0.25">
      <c r="A170" s="53" t="s">
        <v>17</v>
      </c>
      <c r="B170" s="10">
        <f t="shared" si="42"/>
        <v>6363.636363636364</v>
      </c>
      <c r="C170" s="51">
        <f t="shared" si="44"/>
        <v>265.15151515151518</v>
      </c>
      <c r="D170" s="18">
        <f t="shared" si="45"/>
        <v>24.214750242147506</v>
      </c>
      <c r="E170" s="52">
        <f t="shared" si="43"/>
        <v>4827.5862068965516</v>
      </c>
      <c r="F170" s="28">
        <f t="shared" si="46"/>
        <v>201.14942528735631</v>
      </c>
      <c r="G170" s="44">
        <f t="shared" si="47"/>
        <v>18.36981052852569</v>
      </c>
    </row>
    <row r="171" spans="1:7" x14ac:dyDescent="0.25">
      <c r="A171" s="53" t="s">
        <v>18</v>
      </c>
      <c r="B171" s="10">
        <f t="shared" si="42"/>
        <v>6363.636363636364</v>
      </c>
      <c r="C171" s="51">
        <f t="shared" si="44"/>
        <v>265.15151515151518</v>
      </c>
      <c r="D171" s="18">
        <f t="shared" si="45"/>
        <v>24.214750242147506</v>
      </c>
      <c r="E171" s="52">
        <f t="shared" si="43"/>
        <v>4827.5862068965516</v>
      </c>
      <c r="F171" s="28">
        <f t="shared" si="46"/>
        <v>201.14942528735631</v>
      </c>
      <c r="G171" s="44">
        <f t="shared" si="47"/>
        <v>18.36981052852569</v>
      </c>
    </row>
    <row r="172" spans="1:7" ht="15.75" thickBot="1" x14ac:dyDescent="0.3">
      <c r="A172" s="56" t="s">
        <v>19</v>
      </c>
      <c r="B172" s="59" t="s">
        <v>20</v>
      </c>
      <c r="C172" s="59" t="s">
        <v>20</v>
      </c>
      <c r="D172" s="59" t="s">
        <v>20</v>
      </c>
      <c r="E172" s="59" t="s">
        <v>20</v>
      </c>
      <c r="F172" s="31" t="s">
        <v>20</v>
      </c>
      <c r="G172" s="21" t="s">
        <v>20</v>
      </c>
    </row>
    <row r="174" spans="1:7" ht="18.75" x14ac:dyDescent="0.3">
      <c r="A174" s="1" t="s">
        <v>136</v>
      </c>
      <c r="B174" s="40"/>
    </row>
    <row r="175" spans="1:7" ht="15.75" thickBot="1" x14ac:dyDescent="0.3"/>
    <row r="176" spans="1:7" x14ac:dyDescent="0.25">
      <c r="A176" s="2" t="s">
        <v>41</v>
      </c>
      <c r="B176" s="3" t="s">
        <v>54</v>
      </c>
      <c r="C176" s="32" t="s">
        <v>54</v>
      </c>
      <c r="D176" s="32" t="s">
        <v>43</v>
      </c>
      <c r="E176" s="32" t="s">
        <v>43</v>
      </c>
      <c r="F176" s="32" t="s">
        <v>43</v>
      </c>
      <c r="G176" s="33" t="s">
        <v>43</v>
      </c>
    </row>
    <row r="177" spans="1:7" x14ac:dyDescent="0.25">
      <c r="A177" s="4" t="s">
        <v>6</v>
      </c>
      <c r="B177" s="5" t="s">
        <v>7</v>
      </c>
      <c r="C177" s="34" t="s">
        <v>21</v>
      </c>
      <c r="D177" s="34" t="s">
        <v>7</v>
      </c>
      <c r="E177" s="34" t="s">
        <v>21</v>
      </c>
      <c r="F177" s="34"/>
      <c r="G177" s="16"/>
    </row>
    <row r="178" spans="1:7" ht="15.75" thickBot="1" x14ac:dyDescent="0.3">
      <c r="A178" s="6" t="s">
        <v>8</v>
      </c>
      <c r="B178" s="100" t="s">
        <v>9</v>
      </c>
      <c r="C178" s="101" t="s">
        <v>9</v>
      </c>
      <c r="D178" s="101" t="s">
        <v>9</v>
      </c>
      <c r="E178" s="101" t="s">
        <v>9</v>
      </c>
      <c r="F178" s="101" t="s">
        <v>44</v>
      </c>
      <c r="G178" s="102" t="s">
        <v>45</v>
      </c>
    </row>
    <row r="179" spans="1:7" x14ac:dyDescent="0.25">
      <c r="A179" s="103" t="s">
        <v>10</v>
      </c>
      <c r="B179" s="175">
        <v>0.1</v>
      </c>
      <c r="C179" s="32">
        <v>0.12</v>
      </c>
      <c r="D179" s="138">
        <v>4.4999999999999998E-2</v>
      </c>
      <c r="E179" s="138">
        <v>6.5000000000000002E-2</v>
      </c>
      <c r="F179" s="112">
        <v>239</v>
      </c>
      <c r="G179" s="176">
        <v>368</v>
      </c>
    </row>
    <row r="180" spans="1:7" x14ac:dyDescent="0.25">
      <c r="A180" s="53" t="s">
        <v>11</v>
      </c>
      <c r="B180" s="144">
        <v>0.4</v>
      </c>
      <c r="C180" s="79">
        <v>0.48</v>
      </c>
      <c r="D180" s="136">
        <v>0.18</v>
      </c>
      <c r="E180" s="136">
        <v>0.26</v>
      </c>
      <c r="F180" s="45">
        <v>956</v>
      </c>
      <c r="G180" s="46">
        <v>1470</v>
      </c>
    </row>
    <row r="181" spans="1:7" x14ac:dyDescent="0.25">
      <c r="A181" s="53" t="s">
        <v>12</v>
      </c>
      <c r="B181" s="144">
        <v>0.8</v>
      </c>
      <c r="C181" s="79">
        <v>0.96</v>
      </c>
      <c r="D181" s="136">
        <v>0.36</v>
      </c>
      <c r="E181" s="136">
        <v>0.52</v>
      </c>
      <c r="F181" s="30">
        <v>1911</v>
      </c>
      <c r="G181" s="38">
        <v>2940</v>
      </c>
    </row>
    <row r="182" spans="1:7" x14ac:dyDescent="0.25">
      <c r="A182" s="53" t="s">
        <v>13</v>
      </c>
      <c r="B182" s="144">
        <v>2.7E-2</v>
      </c>
      <c r="C182" s="79">
        <v>3.5000000000000003E-2</v>
      </c>
      <c r="D182" s="136">
        <v>1.0999999999999999E-2</v>
      </c>
      <c r="E182" s="136">
        <v>2.1000000000000001E-2</v>
      </c>
      <c r="F182" s="30">
        <v>57</v>
      </c>
      <c r="G182" s="38">
        <v>86</v>
      </c>
    </row>
    <row r="183" spans="1:7" x14ac:dyDescent="0.25">
      <c r="A183" s="53" t="s">
        <v>14</v>
      </c>
      <c r="B183" s="144">
        <v>0.6</v>
      </c>
      <c r="C183" s="79">
        <v>0.62</v>
      </c>
      <c r="D183" s="136">
        <v>0.27</v>
      </c>
      <c r="E183" s="136">
        <v>0.34</v>
      </c>
      <c r="F183" s="30">
        <v>1391</v>
      </c>
      <c r="G183" s="38">
        <v>2100</v>
      </c>
    </row>
    <row r="184" spans="1:7" x14ac:dyDescent="0.25">
      <c r="A184" s="53" t="s">
        <v>15</v>
      </c>
      <c r="B184" s="144">
        <v>1.2</v>
      </c>
      <c r="C184" s="79">
        <v>1.24</v>
      </c>
      <c r="D184" s="136">
        <v>0.54</v>
      </c>
      <c r="E184" s="136">
        <v>0.68</v>
      </c>
      <c r="F184" s="30">
        <v>2783</v>
      </c>
      <c r="G184" s="38">
        <v>4200</v>
      </c>
    </row>
    <row r="185" spans="1:7" x14ac:dyDescent="0.25">
      <c r="A185" s="53" t="s">
        <v>16</v>
      </c>
      <c r="B185" s="144">
        <v>2.39</v>
      </c>
      <c r="C185" s="79">
        <v>2.48</v>
      </c>
      <c r="D185" s="136">
        <v>1.07</v>
      </c>
      <c r="E185" s="136">
        <v>1.36</v>
      </c>
      <c r="F185" s="30">
        <v>5565</v>
      </c>
      <c r="G185" s="38">
        <v>8400</v>
      </c>
    </row>
    <row r="186" spans="1:7" x14ac:dyDescent="0.25">
      <c r="A186" s="53" t="s">
        <v>17</v>
      </c>
      <c r="B186" s="144">
        <v>0.2</v>
      </c>
      <c r="C186" s="79">
        <v>0.28999999999999998</v>
      </c>
      <c r="D186" s="136">
        <v>0.09</v>
      </c>
      <c r="E186" s="136">
        <v>0.16</v>
      </c>
      <c r="F186" s="30">
        <v>478</v>
      </c>
      <c r="G186" s="38">
        <v>735</v>
      </c>
    </row>
    <row r="187" spans="1:7" x14ac:dyDescent="0.25">
      <c r="A187" s="53" t="s">
        <v>18</v>
      </c>
      <c r="B187" s="144">
        <v>0.8</v>
      </c>
      <c r="C187" s="79">
        <v>1.1599999999999999</v>
      </c>
      <c r="D187" s="136">
        <v>0.36</v>
      </c>
      <c r="E187" s="136">
        <v>0.64</v>
      </c>
      <c r="F187" s="30">
        <v>1911</v>
      </c>
      <c r="G187" s="38">
        <v>2940</v>
      </c>
    </row>
    <row r="188" spans="1:7" ht="15.75" thickBot="1" x14ac:dyDescent="0.3">
      <c r="A188" s="56" t="s">
        <v>19</v>
      </c>
      <c r="B188" s="15" t="s">
        <v>20</v>
      </c>
      <c r="C188" s="31" t="s">
        <v>20</v>
      </c>
      <c r="D188" s="31" t="s">
        <v>20</v>
      </c>
      <c r="E188" s="31" t="s">
        <v>20</v>
      </c>
      <c r="F188" s="31" t="s">
        <v>20</v>
      </c>
      <c r="G188" s="21" t="s">
        <v>20</v>
      </c>
    </row>
    <row r="189" spans="1:7" ht="15.75" thickBot="1" x14ac:dyDescent="0.3"/>
    <row r="190" spans="1:7" x14ac:dyDescent="0.25">
      <c r="A190" s="2" t="s">
        <v>46</v>
      </c>
      <c r="B190" s="3" t="s">
        <v>47</v>
      </c>
      <c r="C190" s="32" t="s">
        <v>47</v>
      </c>
      <c r="D190" s="33" t="s">
        <v>47</v>
      </c>
      <c r="E190" s="47" t="s">
        <v>47</v>
      </c>
      <c r="F190" s="32" t="s">
        <v>47</v>
      </c>
      <c r="G190" s="33" t="s">
        <v>47</v>
      </c>
    </row>
    <row r="191" spans="1:7" x14ac:dyDescent="0.25">
      <c r="A191" s="4" t="s">
        <v>6</v>
      </c>
      <c r="B191" s="5" t="s">
        <v>7</v>
      </c>
      <c r="C191" s="34" t="s">
        <v>7</v>
      </c>
      <c r="D191" s="16" t="s">
        <v>7</v>
      </c>
      <c r="E191" s="48" t="s">
        <v>21</v>
      </c>
      <c r="F191" s="34" t="s">
        <v>21</v>
      </c>
      <c r="G191" s="16" t="s">
        <v>21</v>
      </c>
    </row>
    <row r="192" spans="1:7" ht="15.75" thickBot="1" x14ac:dyDescent="0.3">
      <c r="A192" s="6" t="s">
        <v>48</v>
      </c>
      <c r="B192" s="7" t="s">
        <v>49</v>
      </c>
      <c r="C192" s="35" t="s">
        <v>50</v>
      </c>
      <c r="D192" s="17" t="s">
        <v>51</v>
      </c>
      <c r="E192" s="49" t="s">
        <v>49</v>
      </c>
      <c r="F192" s="35" t="s">
        <v>50</v>
      </c>
      <c r="G192" s="17" t="s">
        <v>51</v>
      </c>
    </row>
    <row r="193" spans="1:7" x14ac:dyDescent="0.25">
      <c r="A193" s="50" t="s">
        <v>10</v>
      </c>
      <c r="B193" s="10">
        <f t="shared" ref="B193:B201" si="48">F179/(B179-D179)</f>
        <v>4345.454545454545</v>
      </c>
      <c r="C193" s="51">
        <f>B193/24</f>
        <v>181.06060606060603</v>
      </c>
      <c r="D193" s="18">
        <f>(C193/365)*100</f>
        <v>49.605645496056447</v>
      </c>
      <c r="E193" s="52">
        <f t="shared" ref="E193:E201" si="49">F179/(C179-E179)</f>
        <v>4345.454545454546</v>
      </c>
      <c r="F193" s="28">
        <f>E193/24</f>
        <v>181.06060606060609</v>
      </c>
      <c r="G193" s="44">
        <f>(F193/365)*100</f>
        <v>49.605645496056461</v>
      </c>
    </row>
    <row r="194" spans="1:7" x14ac:dyDescent="0.25">
      <c r="A194" s="53" t="s">
        <v>11</v>
      </c>
      <c r="B194" s="13">
        <f t="shared" si="48"/>
        <v>4345.454545454545</v>
      </c>
      <c r="C194" s="51">
        <f t="shared" ref="C194:C201" si="50">B194/24</f>
        <v>181.06060606060603</v>
      </c>
      <c r="D194" s="18">
        <f t="shared" ref="D194:D201" si="51">(C194/365)*100</f>
        <v>49.605645496056447</v>
      </c>
      <c r="E194" s="54">
        <f t="shared" si="49"/>
        <v>4345.454545454546</v>
      </c>
      <c r="F194" s="28">
        <f t="shared" ref="F194:F201" si="52">E194/24</f>
        <v>181.06060606060609</v>
      </c>
      <c r="G194" s="44">
        <f t="shared" ref="G194:G201" si="53">(F194/365)*100</f>
        <v>49.605645496056461</v>
      </c>
    </row>
    <row r="195" spans="1:7" x14ac:dyDescent="0.25">
      <c r="A195" s="53" t="s">
        <v>12</v>
      </c>
      <c r="B195" s="13">
        <f t="shared" si="48"/>
        <v>4343.181818181818</v>
      </c>
      <c r="C195" s="51">
        <f t="shared" si="50"/>
        <v>180.96590909090909</v>
      </c>
      <c r="D195" s="18">
        <f t="shared" si="51"/>
        <v>49.579701120797012</v>
      </c>
      <c r="E195" s="54">
        <f t="shared" si="49"/>
        <v>4343.1818181818189</v>
      </c>
      <c r="F195" s="28">
        <f t="shared" si="52"/>
        <v>180.96590909090912</v>
      </c>
      <c r="G195" s="44">
        <f t="shared" si="53"/>
        <v>49.579701120797019</v>
      </c>
    </row>
    <row r="196" spans="1:7" x14ac:dyDescent="0.25">
      <c r="A196" s="53" t="s">
        <v>13</v>
      </c>
      <c r="B196" s="13">
        <f t="shared" si="48"/>
        <v>3562.5</v>
      </c>
      <c r="C196" s="51">
        <f t="shared" si="50"/>
        <v>148.4375</v>
      </c>
      <c r="D196" s="18">
        <f t="shared" si="51"/>
        <v>40.667808219178085</v>
      </c>
      <c r="E196" s="54">
        <f t="shared" si="49"/>
        <v>4071.4285714285706</v>
      </c>
      <c r="F196" s="28">
        <f t="shared" si="52"/>
        <v>169.64285714285711</v>
      </c>
      <c r="G196" s="44">
        <f t="shared" si="53"/>
        <v>46.47749510763208</v>
      </c>
    </row>
    <row r="197" spans="1:7" x14ac:dyDescent="0.25">
      <c r="A197" s="53" t="s">
        <v>14</v>
      </c>
      <c r="B197" s="13">
        <f t="shared" si="48"/>
        <v>4215.1515151515159</v>
      </c>
      <c r="C197" s="51">
        <f t="shared" si="50"/>
        <v>175.63131313131316</v>
      </c>
      <c r="D197" s="18">
        <f t="shared" si="51"/>
        <v>48.118167981181685</v>
      </c>
      <c r="E197" s="54">
        <f t="shared" si="49"/>
        <v>4967.8571428571431</v>
      </c>
      <c r="F197" s="28">
        <f t="shared" si="52"/>
        <v>206.99404761904762</v>
      </c>
      <c r="G197" s="44">
        <f t="shared" si="53"/>
        <v>56.710697977821269</v>
      </c>
    </row>
    <row r="198" spans="1:7" x14ac:dyDescent="0.25">
      <c r="A198" s="53" t="s">
        <v>15</v>
      </c>
      <c r="B198" s="13">
        <f t="shared" si="48"/>
        <v>4216.666666666667</v>
      </c>
      <c r="C198" s="51">
        <f t="shared" si="50"/>
        <v>175.69444444444446</v>
      </c>
      <c r="D198" s="18">
        <f t="shared" si="51"/>
        <v>48.135464231354646</v>
      </c>
      <c r="E198" s="54">
        <f t="shared" si="49"/>
        <v>4969.6428571428578</v>
      </c>
      <c r="F198" s="28">
        <f t="shared" si="52"/>
        <v>207.06845238095241</v>
      </c>
      <c r="G198" s="44">
        <f t="shared" si="53"/>
        <v>56.731082844096548</v>
      </c>
    </row>
    <row r="199" spans="1:7" x14ac:dyDescent="0.25">
      <c r="A199" s="53" t="s">
        <v>16</v>
      </c>
      <c r="B199" s="13">
        <f t="shared" si="48"/>
        <v>4215.909090909091</v>
      </c>
      <c r="C199" s="51">
        <f t="shared" si="50"/>
        <v>175.66287878787878</v>
      </c>
      <c r="D199" s="18">
        <f t="shared" si="51"/>
        <v>48.126816106268159</v>
      </c>
      <c r="E199" s="54">
        <f t="shared" si="49"/>
        <v>4968.7500000000009</v>
      </c>
      <c r="F199" s="28">
        <f t="shared" si="52"/>
        <v>207.03125000000003</v>
      </c>
      <c r="G199" s="44">
        <f t="shared" si="53"/>
        <v>56.720890410958916</v>
      </c>
    </row>
    <row r="200" spans="1:7" x14ac:dyDescent="0.25">
      <c r="A200" s="53" t="s">
        <v>17</v>
      </c>
      <c r="B200" s="13">
        <f t="shared" si="48"/>
        <v>4345.454545454545</v>
      </c>
      <c r="C200" s="51">
        <f t="shared" si="50"/>
        <v>181.06060606060603</v>
      </c>
      <c r="D200" s="18">
        <f t="shared" si="51"/>
        <v>49.605645496056447</v>
      </c>
      <c r="E200" s="54">
        <f t="shared" si="49"/>
        <v>3676.9230769230776</v>
      </c>
      <c r="F200" s="28">
        <f t="shared" si="52"/>
        <v>153.20512820512823</v>
      </c>
      <c r="G200" s="44">
        <f t="shared" si="53"/>
        <v>41.974007727432394</v>
      </c>
    </row>
    <row r="201" spans="1:7" x14ac:dyDescent="0.25">
      <c r="A201" s="53" t="s">
        <v>18</v>
      </c>
      <c r="B201" s="13">
        <f t="shared" si="48"/>
        <v>4343.181818181818</v>
      </c>
      <c r="C201" s="51">
        <f t="shared" si="50"/>
        <v>180.96590909090909</v>
      </c>
      <c r="D201" s="18">
        <f t="shared" si="51"/>
        <v>49.579701120797012</v>
      </c>
      <c r="E201" s="54">
        <f t="shared" si="49"/>
        <v>3675.0000000000005</v>
      </c>
      <c r="F201" s="28">
        <f t="shared" si="52"/>
        <v>153.12500000000003</v>
      </c>
      <c r="G201" s="44">
        <f t="shared" si="53"/>
        <v>41.952054794520556</v>
      </c>
    </row>
    <row r="202" spans="1:7" ht="15.75" thickBot="1" x14ac:dyDescent="0.3">
      <c r="A202" s="56" t="s">
        <v>19</v>
      </c>
      <c r="B202" s="59" t="s">
        <v>20</v>
      </c>
      <c r="C202" s="59" t="s">
        <v>20</v>
      </c>
      <c r="D202" s="59" t="s">
        <v>20</v>
      </c>
      <c r="E202" s="59" t="s">
        <v>20</v>
      </c>
      <c r="F202" s="31" t="s">
        <v>20</v>
      </c>
      <c r="G202" s="21" t="s">
        <v>20</v>
      </c>
    </row>
    <row r="203" spans="1:7" x14ac:dyDescent="0.25">
      <c r="A203" s="2" t="s">
        <v>46</v>
      </c>
      <c r="B203" s="3" t="s">
        <v>52</v>
      </c>
      <c r="C203" s="3" t="s">
        <v>52</v>
      </c>
      <c r="D203" s="8" t="s">
        <v>52</v>
      </c>
      <c r="E203" s="47" t="s">
        <v>52</v>
      </c>
      <c r="F203" s="3" t="s">
        <v>52</v>
      </c>
      <c r="G203" s="3" t="s">
        <v>52</v>
      </c>
    </row>
    <row r="204" spans="1:7" x14ac:dyDescent="0.25">
      <c r="A204" s="4" t="s">
        <v>6</v>
      </c>
      <c r="B204" s="5" t="s">
        <v>7</v>
      </c>
      <c r="C204" s="34" t="s">
        <v>7</v>
      </c>
      <c r="D204" s="16" t="s">
        <v>7</v>
      </c>
      <c r="E204" s="48" t="s">
        <v>21</v>
      </c>
      <c r="F204" s="34" t="s">
        <v>21</v>
      </c>
      <c r="G204" s="16" t="s">
        <v>21</v>
      </c>
    </row>
    <row r="205" spans="1:7" ht="15.75" thickBot="1" x14ac:dyDescent="0.3">
      <c r="A205" s="6" t="s">
        <v>48</v>
      </c>
      <c r="B205" s="7" t="s">
        <v>49</v>
      </c>
      <c r="C205" s="35" t="s">
        <v>50</v>
      </c>
      <c r="D205" s="17" t="s">
        <v>51</v>
      </c>
      <c r="E205" s="49" t="s">
        <v>49</v>
      </c>
      <c r="F205" s="35" t="s">
        <v>50</v>
      </c>
      <c r="G205" s="17" t="s">
        <v>51</v>
      </c>
    </row>
    <row r="206" spans="1:7" x14ac:dyDescent="0.25">
      <c r="A206" s="50" t="s">
        <v>10</v>
      </c>
      <c r="B206" s="10">
        <f t="shared" ref="B206:B214" si="54">G179/(B179-D179)</f>
        <v>6690.9090909090901</v>
      </c>
      <c r="C206" s="51">
        <f>B206/24</f>
        <v>278.78787878787875</v>
      </c>
      <c r="D206" s="18">
        <f>(C206/1095)*100</f>
        <v>25.460080254600797</v>
      </c>
      <c r="E206" s="52">
        <f t="shared" ref="E206:E214" si="55">G179/(C179-E179)</f>
        <v>6690.9090909090919</v>
      </c>
      <c r="F206" s="28">
        <f>E206/24</f>
        <v>278.78787878787881</v>
      </c>
      <c r="G206" s="44">
        <f>(F206/1095)*100</f>
        <v>25.460080254600804</v>
      </c>
    </row>
    <row r="207" spans="1:7" x14ac:dyDescent="0.25">
      <c r="A207" s="53" t="s">
        <v>11</v>
      </c>
      <c r="B207" s="10">
        <f t="shared" si="54"/>
        <v>6681.8181818181811</v>
      </c>
      <c r="C207" s="51">
        <f t="shared" ref="C207:C214" si="56">B207/24</f>
        <v>278.40909090909088</v>
      </c>
      <c r="D207" s="18">
        <f t="shared" ref="D207:D214" si="57">(C207/1095)*100</f>
        <v>25.425487754254878</v>
      </c>
      <c r="E207" s="52">
        <f t="shared" si="55"/>
        <v>6681.8181818181829</v>
      </c>
      <c r="F207" s="28">
        <f t="shared" ref="F207:F214" si="58">E207/24</f>
        <v>278.40909090909093</v>
      </c>
      <c r="G207" s="44">
        <f t="shared" ref="G207:G214" si="59">(F207/1095)*100</f>
        <v>25.425487754254878</v>
      </c>
    </row>
    <row r="208" spans="1:7" x14ac:dyDescent="0.25">
      <c r="A208" s="53" t="s">
        <v>12</v>
      </c>
      <c r="B208" s="10">
        <f t="shared" si="54"/>
        <v>6681.8181818181811</v>
      </c>
      <c r="C208" s="51">
        <f t="shared" si="56"/>
        <v>278.40909090909088</v>
      </c>
      <c r="D208" s="18">
        <f t="shared" si="57"/>
        <v>25.425487754254878</v>
      </c>
      <c r="E208" s="52">
        <f t="shared" si="55"/>
        <v>6681.8181818181829</v>
      </c>
      <c r="F208" s="28">
        <f t="shared" si="58"/>
        <v>278.40909090909093</v>
      </c>
      <c r="G208" s="44">
        <f t="shared" si="59"/>
        <v>25.425487754254878</v>
      </c>
    </row>
    <row r="209" spans="1:7" x14ac:dyDescent="0.25">
      <c r="A209" s="53" t="s">
        <v>13</v>
      </c>
      <c r="B209" s="10">
        <f t="shared" si="54"/>
        <v>5375</v>
      </c>
      <c r="C209" s="51">
        <f t="shared" si="56"/>
        <v>223.95833333333334</v>
      </c>
      <c r="D209" s="18">
        <f t="shared" si="57"/>
        <v>20.452815829528159</v>
      </c>
      <c r="E209" s="52">
        <f t="shared" si="55"/>
        <v>6142.8571428571422</v>
      </c>
      <c r="F209" s="28">
        <f t="shared" si="58"/>
        <v>255.95238095238093</v>
      </c>
      <c r="G209" s="44">
        <f t="shared" si="59"/>
        <v>23.374646662317893</v>
      </c>
    </row>
    <row r="210" spans="1:7" x14ac:dyDescent="0.25">
      <c r="A210" s="53" t="s">
        <v>14</v>
      </c>
      <c r="B210" s="10">
        <f t="shared" si="54"/>
        <v>6363.636363636364</v>
      </c>
      <c r="C210" s="51">
        <f t="shared" si="56"/>
        <v>265.15151515151518</v>
      </c>
      <c r="D210" s="18">
        <f t="shared" si="57"/>
        <v>24.214750242147506</v>
      </c>
      <c r="E210" s="52">
        <f t="shared" si="55"/>
        <v>7500.0000000000009</v>
      </c>
      <c r="F210" s="28">
        <f t="shared" si="58"/>
        <v>312.50000000000006</v>
      </c>
      <c r="G210" s="44">
        <f t="shared" si="59"/>
        <v>28.538812785388135</v>
      </c>
    </row>
    <row r="211" spans="1:7" x14ac:dyDescent="0.25">
      <c r="A211" s="53" t="s">
        <v>15</v>
      </c>
      <c r="B211" s="10">
        <f t="shared" si="54"/>
        <v>6363.636363636364</v>
      </c>
      <c r="C211" s="51">
        <f t="shared" si="56"/>
        <v>265.15151515151518</v>
      </c>
      <c r="D211" s="18">
        <f t="shared" si="57"/>
        <v>24.214750242147506</v>
      </c>
      <c r="E211" s="52">
        <f t="shared" si="55"/>
        <v>7500.0000000000009</v>
      </c>
      <c r="F211" s="28">
        <f t="shared" si="58"/>
        <v>312.50000000000006</v>
      </c>
      <c r="G211" s="44">
        <f t="shared" si="59"/>
        <v>28.538812785388135</v>
      </c>
    </row>
    <row r="212" spans="1:7" x14ac:dyDescent="0.25">
      <c r="A212" s="53" t="s">
        <v>16</v>
      </c>
      <c r="B212" s="10">
        <f t="shared" si="54"/>
        <v>6363.6363636363631</v>
      </c>
      <c r="C212" s="51">
        <f t="shared" si="56"/>
        <v>265.15151515151513</v>
      </c>
      <c r="D212" s="18">
        <f t="shared" si="57"/>
        <v>24.214750242147502</v>
      </c>
      <c r="E212" s="52">
        <f t="shared" si="55"/>
        <v>7500.0000000000009</v>
      </c>
      <c r="F212" s="28">
        <f t="shared" si="58"/>
        <v>312.50000000000006</v>
      </c>
      <c r="G212" s="44">
        <f t="shared" si="59"/>
        <v>28.538812785388135</v>
      </c>
    </row>
    <row r="213" spans="1:7" x14ac:dyDescent="0.25">
      <c r="A213" s="53" t="s">
        <v>17</v>
      </c>
      <c r="B213" s="10">
        <f t="shared" si="54"/>
        <v>6681.8181818181811</v>
      </c>
      <c r="C213" s="51">
        <f t="shared" si="56"/>
        <v>278.40909090909088</v>
      </c>
      <c r="D213" s="18">
        <f t="shared" si="57"/>
        <v>25.425487754254878</v>
      </c>
      <c r="E213" s="52">
        <f t="shared" si="55"/>
        <v>5653.8461538461552</v>
      </c>
      <c r="F213" s="28">
        <f t="shared" si="58"/>
        <v>235.57692307692312</v>
      </c>
      <c r="G213" s="44">
        <f t="shared" si="59"/>
        <v>21.513874253600285</v>
      </c>
    </row>
    <row r="214" spans="1:7" x14ac:dyDescent="0.25">
      <c r="A214" s="53" t="s">
        <v>18</v>
      </c>
      <c r="B214" s="10">
        <f t="shared" si="54"/>
        <v>6681.8181818181811</v>
      </c>
      <c r="C214" s="51">
        <f t="shared" si="56"/>
        <v>278.40909090909088</v>
      </c>
      <c r="D214" s="18">
        <f t="shared" si="57"/>
        <v>25.425487754254878</v>
      </c>
      <c r="E214" s="52">
        <f t="shared" si="55"/>
        <v>5653.8461538461552</v>
      </c>
      <c r="F214" s="28">
        <f t="shared" si="58"/>
        <v>235.57692307692312</v>
      </c>
      <c r="G214" s="44">
        <f t="shared" si="59"/>
        <v>21.513874253600285</v>
      </c>
    </row>
    <row r="215" spans="1:7" ht="15.75" thickBot="1" x14ac:dyDescent="0.3">
      <c r="A215" s="56" t="s">
        <v>19</v>
      </c>
      <c r="B215" s="59" t="s">
        <v>20</v>
      </c>
      <c r="C215" s="59" t="s">
        <v>20</v>
      </c>
      <c r="D215" s="59" t="s">
        <v>20</v>
      </c>
      <c r="E215" s="59" t="s">
        <v>20</v>
      </c>
      <c r="F215" s="31" t="s">
        <v>20</v>
      </c>
      <c r="G215" s="21" t="s">
        <v>20</v>
      </c>
    </row>
  </sheetData>
  <pageMargins left="0.7" right="0.7" top="0.75" bottom="0.75" header="0.3" footer="0.3"/>
  <pageSetup orientation="landscape" r:id="rId1"/>
  <customProperties>
    <customPr name="DVSECTION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F63"/>
  <sheetViews>
    <sheetView showGridLines="0" zoomScaleNormal="100" workbookViewId="0">
      <selection activeCell="M17" sqref="M17"/>
    </sheetView>
  </sheetViews>
  <sheetFormatPr defaultRowHeight="15" x14ac:dyDescent="0.25"/>
  <cols>
    <col min="1" max="1" width="38.140625" bestFit="1" customWidth="1"/>
    <col min="2" max="6" width="12.42578125" bestFit="1" customWidth="1"/>
  </cols>
  <sheetData>
    <row r="2" spans="1:6" ht="18.75" x14ac:dyDescent="0.3">
      <c r="A2" s="1" t="s">
        <v>120</v>
      </c>
    </row>
    <row r="3" spans="1:6" ht="18.75" x14ac:dyDescent="0.3">
      <c r="A3" s="1" t="s">
        <v>121</v>
      </c>
    </row>
    <row r="4" spans="1:6" ht="15.75" thickBot="1" x14ac:dyDescent="0.3"/>
    <row r="5" spans="1:6" x14ac:dyDescent="0.25">
      <c r="A5" s="2" t="s">
        <v>1</v>
      </c>
      <c r="B5" s="3" t="s">
        <v>2</v>
      </c>
      <c r="C5" s="32" t="s">
        <v>3</v>
      </c>
      <c r="D5" s="32" t="s">
        <v>4</v>
      </c>
      <c r="E5" s="32" t="s">
        <v>5</v>
      </c>
      <c r="F5" s="33" t="s">
        <v>125</v>
      </c>
    </row>
    <row r="6" spans="1:6" x14ac:dyDescent="0.25">
      <c r="A6" s="4" t="s">
        <v>6</v>
      </c>
      <c r="B6" s="5" t="s">
        <v>7</v>
      </c>
      <c r="C6" s="34" t="s">
        <v>7</v>
      </c>
      <c r="D6" s="34" t="s">
        <v>7</v>
      </c>
      <c r="E6" s="34" t="s">
        <v>7</v>
      </c>
      <c r="F6" s="16" t="s">
        <v>7</v>
      </c>
    </row>
    <row r="7" spans="1:6" ht="15.75" thickBot="1" x14ac:dyDescent="0.3">
      <c r="A7" s="6" t="s">
        <v>8</v>
      </c>
      <c r="B7" s="7" t="s">
        <v>122</v>
      </c>
      <c r="C7" s="35" t="s">
        <v>122</v>
      </c>
      <c r="D7" s="35" t="s">
        <v>122</v>
      </c>
      <c r="E7" s="35" t="s">
        <v>122</v>
      </c>
      <c r="F7" s="17" t="s">
        <v>122</v>
      </c>
    </row>
    <row r="8" spans="1:6" x14ac:dyDescent="0.25">
      <c r="A8" s="103" t="s">
        <v>10</v>
      </c>
      <c r="B8" s="9">
        <v>47.218762972187626</v>
      </c>
      <c r="C8" s="107">
        <v>47.218762972187626</v>
      </c>
      <c r="D8" s="107">
        <v>47.218762972187626</v>
      </c>
      <c r="E8" s="109">
        <v>47.218762972187626</v>
      </c>
      <c r="F8" s="72">
        <v>49.605645496056447</v>
      </c>
    </row>
    <row r="9" spans="1:6" x14ac:dyDescent="0.25">
      <c r="A9" s="53" t="s">
        <v>11</v>
      </c>
      <c r="B9" s="12">
        <v>47.218762972187626</v>
      </c>
      <c r="C9" s="105">
        <v>47.218762972187626</v>
      </c>
      <c r="D9" s="105">
        <v>47.218762972187626</v>
      </c>
      <c r="E9" s="110">
        <v>47.218762972187626</v>
      </c>
      <c r="F9" s="74">
        <v>49.605645496056447</v>
      </c>
    </row>
    <row r="10" spans="1:6" x14ac:dyDescent="0.25">
      <c r="A10" s="53" t="s">
        <v>12</v>
      </c>
      <c r="B10" s="12">
        <v>47.218762972187626</v>
      </c>
      <c r="C10" s="105">
        <v>47.218762972187626</v>
      </c>
      <c r="D10" s="105">
        <v>47.218762972187626</v>
      </c>
      <c r="E10" s="110">
        <v>47.218762972187626</v>
      </c>
      <c r="F10" s="74">
        <v>49.579701120797012</v>
      </c>
    </row>
    <row r="11" spans="1:6" x14ac:dyDescent="0.25">
      <c r="A11" s="53" t="s">
        <v>13</v>
      </c>
      <c r="B11" s="13">
        <v>47.418335089567961</v>
      </c>
      <c r="C11" s="79">
        <v>41.095890410958894</v>
      </c>
      <c r="D11" s="79">
        <v>41.095890410958894</v>
      </c>
      <c r="E11" s="79">
        <v>41.095890410958894</v>
      </c>
      <c r="F11" s="178">
        <v>40.667808219178085</v>
      </c>
    </row>
    <row r="12" spans="1:6" x14ac:dyDescent="0.25">
      <c r="A12" s="53" t="s">
        <v>14</v>
      </c>
      <c r="B12" s="12">
        <v>45.835062958350633</v>
      </c>
      <c r="C12" s="105">
        <v>45.835062958350633</v>
      </c>
      <c r="D12" s="105">
        <v>45.835062958350633</v>
      </c>
      <c r="E12" s="110">
        <v>45.835062958350633</v>
      </c>
      <c r="F12" s="74">
        <v>48.118167981181685</v>
      </c>
    </row>
    <row r="13" spans="1:6" x14ac:dyDescent="0.25">
      <c r="A13" s="53" t="s">
        <v>15</v>
      </c>
      <c r="B13" s="12">
        <v>45.835062958350633</v>
      </c>
      <c r="C13" s="105">
        <v>45.835062958350633</v>
      </c>
      <c r="D13" s="105">
        <v>45.835062958350633</v>
      </c>
      <c r="E13" s="110">
        <v>45.835062958350633</v>
      </c>
      <c r="F13" s="74">
        <v>48.135464231354646</v>
      </c>
    </row>
    <row r="14" spans="1:6" x14ac:dyDescent="0.25">
      <c r="A14" s="53" t="s">
        <v>16</v>
      </c>
      <c r="B14" s="12">
        <v>45.835062958350633</v>
      </c>
      <c r="C14" s="105">
        <v>45.835062958350633</v>
      </c>
      <c r="D14" s="105">
        <v>45.835062958350633</v>
      </c>
      <c r="E14" s="110">
        <v>45.835062958350633</v>
      </c>
      <c r="F14" s="74">
        <v>48.126816106268159</v>
      </c>
    </row>
    <row r="15" spans="1:6" x14ac:dyDescent="0.25">
      <c r="A15" s="53" t="s">
        <v>17</v>
      </c>
      <c r="B15" s="12">
        <v>47.218762972187626</v>
      </c>
      <c r="C15" s="105">
        <v>47.218762972187626</v>
      </c>
      <c r="D15" s="105">
        <v>47.218762972187626</v>
      </c>
      <c r="E15" s="110">
        <v>47.218762972187626</v>
      </c>
      <c r="F15" s="74">
        <v>49.605645496056447</v>
      </c>
    </row>
    <row r="16" spans="1:6" x14ac:dyDescent="0.25">
      <c r="A16" s="53" t="s">
        <v>18</v>
      </c>
      <c r="B16" s="12">
        <v>47.218762972187626</v>
      </c>
      <c r="C16" s="105">
        <v>47.218762972187626</v>
      </c>
      <c r="D16" s="105">
        <v>47.218762972187626</v>
      </c>
      <c r="E16" s="110">
        <v>47.218762972187626</v>
      </c>
      <c r="F16" s="74">
        <v>49.579701120797012</v>
      </c>
    </row>
    <row r="17" spans="1:6" ht="15.75" thickBot="1" x14ac:dyDescent="0.3">
      <c r="A17" s="56" t="s">
        <v>19</v>
      </c>
      <c r="B17" s="106">
        <v>47.089041095890408</v>
      </c>
      <c r="C17" s="31" t="s">
        <v>20</v>
      </c>
      <c r="D17" s="31" t="s">
        <v>20</v>
      </c>
      <c r="E17" s="65" t="s">
        <v>20</v>
      </c>
      <c r="F17" s="120" t="s">
        <v>20</v>
      </c>
    </row>
    <row r="18" spans="1:6" ht="15.75" thickBot="1" x14ac:dyDescent="0.3"/>
    <row r="19" spans="1:6" x14ac:dyDescent="0.25">
      <c r="A19" s="2" t="s">
        <v>1</v>
      </c>
      <c r="B19" s="3" t="s">
        <v>2</v>
      </c>
      <c r="C19" s="32" t="s">
        <v>3</v>
      </c>
      <c r="D19" s="32" t="s">
        <v>4</v>
      </c>
      <c r="E19" s="32" t="s">
        <v>5</v>
      </c>
      <c r="F19" s="172" t="s">
        <v>125</v>
      </c>
    </row>
    <row r="20" spans="1:6" x14ac:dyDescent="0.25">
      <c r="A20" s="4" t="s">
        <v>6</v>
      </c>
      <c r="B20" s="5" t="s">
        <v>21</v>
      </c>
      <c r="C20" s="34" t="s">
        <v>21</v>
      </c>
      <c r="D20" s="34" t="s">
        <v>21</v>
      </c>
      <c r="E20" s="34" t="s">
        <v>21</v>
      </c>
      <c r="F20" s="173" t="s">
        <v>21</v>
      </c>
    </row>
    <row r="21" spans="1:6" ht="15.75" thickBot="1" x14ac:dyDescent="0.3">
      <c r="A21" s="6" t="s">
        <v>8</v>
      </c>
      <c r="B21" s="7" t="s">
        <v>122</v>
      </c>
      <c r="C21" s="35" t="s">
        <v>122</v>
      </c>
      <c r="D21" s="35" t="s">
        <v>122</v>
      </c>
      <c r="E21" s="35" t="s">
        <v>122</v>
      </c>
      <c r="F21" s="174" t="s">
        <v>122</v>
      </c>
    </row>
    <row r="22" spans="1:6" x14ac:dyDescent="0.25">
      <c r="A22" s="103" t="s">
        <v>10</v>
      </c>
      <c r="B22" s="22">
        <v>37.100456621004575</v>
      </c>
      <c r="C22" s="27">
        <v>37.100456621004561</v>
      </c>
      <c r="D22" s="28">
        <v>43.283866057838658</v>
      </c>
      <c r="E22" s="28">
        <v>43.283866057838658</v>
      </c>
      <c r="F22" s="44">
        <v>49.605645496056461</v>
      </c>
    </row>
    <row r="23" spans="1:6" x14ac:dyDescent="0.25">
      <c r="A23" s="53" t="s">
        <v>11</v>
      </c>
      <c r="B23" s="24">
        <v>37.100456621004575</v>
      </c>
      <c r="C23" s="29">
        <v>37.100456621004561</v>
      </c>
      <c r="D23" s="30">
        <v>43.283866057838658</v>
      </c>
      <c r="E23" s="30">
        <v>43.283866057838658</v>
      </c>
      <c r="F23" s="44">
        <v>49.605645496056461</v>
      </c>
    </row>
    <row r="24" spans="1:6" x14ac:dyDescent="0.25">
      <c r="A24" s="53" t="s">
        <v>12</v>
      </c>
      <c r="B24" s="24">
        <v>37.100456621004575</v>
      </c>
      <c r="C24" s="29">
        <v>37.100456621004561</v>
      </c>
      <c r="D24" s="30">
        <v>43.283866057838658</v>
      </c>
      <c r="E24" s="30">
        <v>43.283866057838658</v>
      </c>
      <c r="F24" s="44">
        <v>49.579701120797019</v>
      </c>
    </row>
    <row r="25" spans="1:6" x14ac:dyDescent="0.25">
      <c r="A25" s="53" t="s">
        <v>13</v>
      </c>
      <c r="B25" s="25">
        <v>36.261079774375496</v>
      </c>
      <c r="C25" s="29">
        <v>32.444124008651762</v>
      </c>
      <c r="D25" s="29">
        <v>32.444124008651762</v>
      </c>
      <c r="E25" s="29">
        <v>32.444124008651762</v>
      </c>
      <c r="F25" s="44">
        <v>46.47749510763208</v>
      </c>
    </row>
    <row r="26" spans="1:6" x14ac:dyDescent="0.25">
      <c r="A26" s="53" t="s">
        <v>14</v>
      </c>
      <c r="B26" s="24">
        <v>39.804133621725548</v>
      </c>
      <c r="C26" s="30">
        <v>40.879921016907325</v>
      </c>
      <c r="D26" s="30">
        <v>50.418569254185698</v>
      </c>
      <c r="E26" s="30">
        <v>50.418569254185698</v>
      </c>
      <c r="F26" s="44">
        <v>56.710697977821269</v>
      </c>
    </row>
    <row r="27" spans="1:6" x14ac:dyDescent="0.25">
      <c r="A27" s="53" t="s">
        <v>15</v>
      </c>
      <c r="B27" s="24">
        <v>39.804133621725548</v>
      </c>
      <c r="C27" s="30">
        <v>40.879921016907325</v>
      </c>
      <c r="D27" s="30">
        <v>50.418569254185698</v>
      </c>
      <c r="E27" s="30">
        <v>50.418569254185698</v>
      </c>
      <c r="F27" s="44">
        <v>56.731082844096548</v>
      </c>
    </row>
    <row r="28" spans="1:6" x14ac:dyDescent="0.25">
      <c r="A28" s="53" t="s">
        <v>16</v>
      </c>
      <c r="B28" s="24">
        <v>39.804133621725548</v>
      </c>
      <c r="C28" s="30">
        <v>40.879921016907325</v>
      </c>
      <c r="D28" s="30">
        <v>50.418569254185698</v>
      </c>
      <c r="E28" s="30">
        <v>50.418569254185698</v>
      </c>
      <c r="F28" s="44">
        <v>56.720890410958916</v>
      </c>
    </row>
    <row r="29" spans="1:6" x14ac:dyDescent="0.25">
      <c r="A29" s="53" t="s">
        <v>17</v>
      </c>
      <c r="B29" s="24">
        <v>31.479175314791757</v>
      </c>
      <c r="C29" s="29">
        <v>31.479175314791753</v>
      </c>
      <c r="D29" s="30">
        <v>35.821130530625105</v>
      </c>
      <c r="E29" s="30">
        <v>35.821130530625105</v>
      </c>
      <c r="F29" s="44">
        <v>41.974007727432394</v>
      </c>
    </row>
    <row r="30" spans="1:6" x14ac:dyDescent="0.25">
      <c r="A30" s="53" t="s">
        <v>18</v>
      </c>
      <c r="B30" s="24">
        <v>31.479175314791757</v>
      </c>
      <c r="C30" s="29">
        <v>31.479175314791753</v>
      </c>
      <c r="D30" s="30">
        <v>35.821130530625105</v>
      </c>
      <c r="E30" s="30">
        <v>35.821130530625105</v>
      </c>
      <c r="F30" s="44">
        <v>41.952054794520556</v>
      </c>
    </row>
    <row r="31" spans="1:6" ht="15.75" thickBot="1" x14ac:dyDescent="0.3">
      <c r="A31" s="56" t="s">
        <v>19</v>
      </c>
      <c r="B31" s="15" t="s">
        <v>20</v>
      </c>
      <c r="C31" s="31" t="s">
        <v>20</v>
      </c>
      <c r="D31" s="31" t="s">
        <v>20</v>
      </c>
      <c r="E31" s="31" t="s">
        <v>20</v>
      </c>
      <c r="F31" s="120" t="s">
        <v>20</v>
      </c>
    </row>
    <row r="34" spans="1:6" ht="18.75" x14ac:dyDescent="0.3">
      <c r="A34" s="1" t="s">
        <v>120</v>
      </c>
    </row>
    <row r="35" spans="1:6" ht="18.75" x14ac:dyDescent="0.3">
      <c r="A35" s="1" t="s">
        <v>123</v>
      </c>
    </row>
    <row r="36" spans="1:6" ht="15.75" thickBot="1" x14ac:dyDescent="0.3"/>
    <row r="37" spans="1:6" x14ac:dyDescent="0.25">
      <c r="A37" s="2" t="s">
        <v>1</v>
      </c>
      <c r="B37" s="3" t="s">
        <v>2</v>
      </c>
      <c r="C37" s="32" t="s">
        <v>3</v>
      </c>
      <c r="D37" s="32" t="s">
        <v>4</v>
      </c>
      <c r="E37" s="33" t="s">
        <v>5</v>
      </c>
      <c r="F37" s="33" t="s">
        <v>125</v>
      </c>
    </row>
    <row r="38" spans="1:6" x14ac:dyDescent="0.25">
      <c r="A38" s="4" t="s">
        <v>6</v>
      </c>
      <c r="B38" s="5" t="s">
        <v>7</v>
      </c>
      <c r="C38" s="34" t="s">
        <v>7</v>
      </c>
      <c r="D38" s="34" t="s">
        <v>7</v>
      </c>
      <c r="E38" s="16" t="s">
        <v>7</v>
      </c>
      <c r="F38" s="16" t="s">
        <v>7</v>
      </c>
    </row>
    <row r="39" spans="1:6" ht="15.75" thickBot="1" x14ac:dyDescent="0.3">
      <c r="A39" s="6" t="s">
        <v>8</v>
      </c>
      <c r="B39" s="100" t="s">
        <v>122</v>
      </c>
      <c r="C39" s="101" t="s">
        <v>122</v>
      </c>
      <c r="D39" s="101" t="s">
        <v>122</v>
      </c>
      <c r="E39" s="102" t="s">
        <v>122</v>
      </c>
      <c r="F39" s="102" t="s">
        <v>122</v>
      </c>
    </row>
    <row r="40" spans="1:6" x14ac:dyDescent="0.25">
      <c r="A40" s="103" t="s">
        <v>10</v>
      </c>
      <c r="B40" s="111">
        <v>24.214750242147502</v>
      </c>
      <c r="C40" s="104">
        <v>24.214750242147506</v>
      </c>
      <c r="D40" s="104">
        <v>24.214750242147506</v>
      </c>
      <c r="E40" s="104">
        <v>24.214750242147506</v>
      </c>
      <c r="F40" s="177">
        <v>25.460080254600797</v>
      </c>
    </row>
    <row r="41" spans="1:6" x14ac:dyDescent="0.25">
      <c r="A41" s="53" t="s">
        <v>11</v>
      </c>
      <c r="B41" s="24">
        <v>24.214750242147502</v>
      </c>
      <c r="C41" s="105">
        <v>24.214750242147506</v>
      </c>
      <c r="D41" s="105">
        <v>24.214750242147506</v>
      </c>
      <c r="E41" s="105">
        <v>24.214750242147506</v>
      </c>
      <c r="F41" s="20">
        <v>25.425487754254878</v>
      </c>
    </row>
    <row r="42" spans="1:6" x14ac:dyDescent="0.25">
      <c r="A42" s="53" t="s">
        <v>12</v>
      </c>
      <c r="B42" s="24">
        <v>24.214750242147502</v>
      </c>
      <c r="C42" s="105">
        <v>24.214750242147506</v>
      </c>
      <c r="D42" s="105">
        <v>24.214750242147506</v>
      </c>
      <c r="E42" s="105">
        <v>24.214750242147506</v>
      </c>
      <c r="F42" s="20">
        <v>25.425487754254878</v>
      </c>
    </row>
    <row r="43" spans="1:6" x14ac:dyDescent="0.25">
      <c r="A43" s="53" t="s">
        <v>13</v>
      </c>
      <c r="B43" s="25">
        <v>24.001873316941804</v>
      </c>
      <c r="C43" s="79">
        <v>20.801623541349564</v>
      </c>
      <c r="D43" s="79">
        <v>20.801623541349564</v>
      </c>
      <c r="E43" s="79">
        <v>20.801623541349564</v>
      </c>
      <c r="F43" s="19">
        <v>20.452815829528159</v>
      </c>
    </row>
    <row r="44" spans="1:6" x14ac:dyDescent="0.25">
      <c r="A44" s="53" t="s">
        <v>14</v>
      </c>
      <c r="B44" s="24">
        <v>23.061666897283338</v>
      </c>
      <c r="C44" s="105">
        <v>23.061666897283338</v>
      </c>
      <c r="D44" s="105">
        <v>23.061666897283338</v>
      </c>
      <c r="E44" s="105">
        <v>23.061666897283338</v>
      </c>
      <c r="F44" s="20">
        <v>24.214750242147506</v>
      </c>
    </row>
    <row r="45" spans="1:6" x14ac:dyDescent="0.25">
      <c r="A45" s="53" t="s">
        <v>15</v>
      </c>
      <c r="B45" s="24">
        <v>23.061666897283338</v>
      </c>
      <c r="C45" s="105">
        <v>23.061666897283338</v>
      </c>
      <c r="D45" s="105">
        <v>23.061666897283338</v>
      </c>
      <c r="E45" s="105">
        <v>23.061666897283338</v>
      </c>
      <c r="F45" s="20">
        <v>24.214750242147506</v>
      </c>
    </row>
    <row r="46" spans="1:6" x14ac:dyDescent="0.25">
      <c r="A46" s="53" t="s">
        <v>16</v>
      </c>
      <c r="B46" s="24">
        <v>23.061666897283338</v>
      </c>
      <c r="C46" s="105">
        <v>23.061666897283338</v>
      </c>
      <c r="D46" s="105">
        <v>23.061666897283338</v>
      </c>
      <c r="E46" s="105">
        <v>23.061666897283338</v>
      </c>
      <c r="F46" s="20">
        <v>24.214750242147502</v>
      </c>
    </row>
    <row r="47" spans="1:6" x14ac:dyDescent="0.25">
      <c r="A47" s="53" t="s">
        <v>17</v>
      </c>
      <c r="B47" s="24">
        <v>24.214750242147502</v>
      </c>
      <c r="C47" s="105">
        <v>24.214750242147506</v>
      </c>
      <c r="D47" s="105">
        <v>24.214750242147506</v>
      </c>
      <c r="E47" s="105">
        <v>24.214750242147506</v>
      </c>
      <c r="F47" s="20">
        <v>25.425487754254878</v>
      </c>
    </row>
    <row r="48" spans="1:6" x14ac:dyDescent="0.25">
      <c r="A48" s="53" t="s">
        <v>18</v>
      </c>
      <c r="B48" s="24">
        <v>24.214750242147502</v>
      </c>
      <c r="C48" s="105">
        <v>24.214750242147506</v>
      </c>
      <c r="D48" s="105">
        <v>24.214750242147506</v>
      </c>
      <c r="E48" s="105">
        <v>24.214750242147506</v>
      </c>
      <c r="F48" s="20">
        <v>25.425487754254878</v>
      </c>
    </row>
    <row r="49" spans="1:6" ht="15.75" thickBot="1" x14ac:dyDescent="0.3">
      <c r="A49" s="56" t="s">
        <v>19</v>
      </c>
      <c r="B49" s="106">
        <v>24.111637981500991</v>
      </c>
      <c r="C49" s="31" t="s">
        <v>20</v>
      </c>
      <c r="D49" s="31" t="s">
        <v>20</v>
      </c>
      <c r="E49" s="31" t="s">
        <v>20</v>
      </c>
      <c r="F49" s="120" t="s">
        <v>20</v>
      </c>
    </row>
    <row r="50" spans="1:6" ht="15.75" thickBot="1" x14ac:dyDescent="0.3"/>
    <row r="51" spans="1:6" x14ac:dyDescent="0.25">
      <c r="A51" s="2" t="s">
        <v>1</v>
      </c>
      <c r="B51" s="3" t="s">
        <v>2</v>
      </c>
      <c r="C51" s="32" t="s">
        <v>3</v>
      </c>
      <c r="D51" s="32" t="s">
        <v>4</v>
      </c>
      <c r="E51" s="32" t="s">
        <v>5</v>
      </c>
      <c r="F51" s="33" t="s">
        <v>125</v>
      </c>
    </row>
    <row r="52" spans="1:6" x14ac:dyDescent="0.25">
      <c r="A52" s="4" t="s">
        <v>6</v>
      </c>
      <c r="B52" s="5" t="s">
        <v>21</v>
      </c>
      <c r="C52" s="34" t="s">
        <v>21</v>
      </c>
      <c r="D52" s="34" t="s">
        <v>21</v>
      </c>
      <c r="E52" s="34" t="s">
        <v>21</v>
      </c>
      <c r="F52" s="16" t="s">
        <v>21</v>
      </c>
    </row>
    <row r="53" spans="1:6" ht="15.75" thickBot="1" x14ac:dyDescent="0.3">
      <c r="A53" s="6" t="s">
        <v>8</v>
      </c>
      <c r="B53" s="100" t="s">
        <v>122</v>
      </c>
      <c r="C53" s="101" t="s">
        <v>122</v>
      </c>
      <c r="D53" s="101" t="s">
        <v>122</v>
      </c>
      <c r="E53" s="101" t="s">
        <v>122</v>
      </c>
      <c r="F53" s="102" t="s">
        <v>122</v>
      </c>
    </row>
    <row r="54" spans="1:6" x14ac:dyDescent="0.25">
      <c r="A54" s="103" t="s">
        <v>10</v>
      </c>
      <c r="B54" s="111">
        <v>19.025875190258756</v>
      </c>
      <c r="C54" s="113">
        <v>19.025875190258748</v>
      </c>
      <c r="D54" s="112">
        <v>22.196854388635213</v>
      </c>
      <c r="E54" s="112">
        <v>22.196854388635213</v>
      </c>
      <c r="F54" s="33">
        <v>25.460080254600804</v>
      </c>
    </row>
    <row r="55" spans="1:6" x14ac:dyDescent="0.25">
      <c r="A55" s="53" t="s">
        <v>11</v>
      </c>
      <c r="B55" s="24">
        <v>19.025875190258756</v>
      </c>
      <c r="C55" s="29">
        <v>19.025875190258748</v>
      </c>
      <c r="D55" s="30">
        <v>22.196854388635213</v>
      </c>
      <c r="E55" s="30">
        <v>22.196854388635213</v>
      </c>
      <c r="F55" s="74">
        <v>25.425487754254878</v>
      </c>
    </row>
    <row r="56" spans="1:6" x14ac:dyDescent="0.25">
      <c r="A56" s="53" t="s">
        <v>12</v>
      </c>
      <c r="B56" s="24">
        <v>19.025875190258756</v>
      </c>
      <c r="C56" s="29">
        <v>19.025875190258748</v>
      </c>
      <c r="D56" s="30">
        <v>22.196854388635213</v>
      </c>
      <c r="E56" s="30">
        <v>22.196854388635213</v>
      </c>
      <c r="F56" s="74">
        <v>25.425487754254878</v>
      </c>
    </row>
    <row r="57" spans="1:6" x14ac:dyDescent="0.25">
      <c r="A57" s="53" t="s">
        <v>13</v>
      </c>
      <c r="B57" s="25">
        <v>18.354373712955503</v>
      </c>
      <c r="C57" s="29">
        <v>16.422334374749656</v>
      </c>
      <c r="D57" s="29">
        <v>16.422334374749656</v>
      </c>
      <c r="E57" s="29">
        <v>16.422334374749656</v>
      </c>
      <c r="F57" s="74">
        <v>23.374646662317893</v>
      </c>
    </row>
    <row r="58" spans="1:6" x14ac:dyDescent="0.25">
      <c r="A58" s="53" t="s">
        <v>14</v>
      </c>
      <c r="B58" s="24">
        <v>20.027237042377632</v>
      </c>
      <c r="C58" s="29">
        <v>20.568513719198652</v>
      </c>
      <c r="D58" s="30">
        <v>25.367833587011667</v>
      </c>
      <c r="E58" s="30">
        <v>25.367833587011667</v>
      </c>
      <c r="F58" s="74">
        <v>28.538812785388135</v>
      </c>
    </row>
    <row r="59" spans="1:6" x14ac:dyDescent="0.25">
      <c r="A59" s="53" t="s">
        <v>15</v>
      </c>
      <c r="B59" s="24">
        <v>20.027237042377632</v>
      </c>
      <c r="C59" s="29">
        <v>20.568513719198652</v>
      </c>
      <c r="D59" s="30">
        <v>25.367833587011667</v>
      </c>
      <c r="E59" s="30">
        <v>25.367833587011667</v>
      </c>
      <c r="F59" s="74">
        <v>28.538812785388135</v>
      </c>
    </row>
    <row r="60" spans="1:6" x14ac:dyDescent="0.25">
      <c r="A60" s="53" t="s">
        <v>16</v>
      </c>
      <c r="B60" s="24">
        <v>20.027237042377632</v>
      </c>
      <c r="C60" s="29">
        <v>20.568513719198652</v>
      </c>
      <c r="D60" s="30">
        <v>25.367833587011667</v>
      </c>
      <c r="E60" s="30">
        <v>25.367833587011667</v>
      </c>
      <c r="F60" s="74">
        <v>28.538812785388135</v>
      </c>
    </row>
    <row r="61" spans="1:6" x14ac:dyDescent="0.25">
      <c r="A61" s="53" t="s">
        <v>17</v>
      </c>
      <c r="B61" s="24">
        <v>16.143166828098337</v>
      </c>
      <c r="C61" s="29">
        <v>16.143166828098334</v>
      </c>
      <c r="D61" s="30">
        <v>18.36981052852569</v>
      </c>
      <c r="E61" s="30">
        <v>18.36981052852569</v>
      </c>
      <c r="F61" s="74">
        <v>21.513874253600285</v>
      </c>
    </row>
    <row r="62" spans="1:6" x14ac:dyDescent="0.25">
      <c r="A62" s="53" t="s">
        <v>18</v>
      </c>
      <c r="B62" s="24">
        <v>16.143166828098337</v>
      </c>
      <c r="C62" s="29">
        <v>16.143166828098334</v>
      </c>
      <c r="D62" s="30">
        <v>18.36981052852569</v>
      </c>
      <c r="E62" s="30">
        <v>18.36981052852569</v>
      </c>
      <c r="F62" s="74">
        <v>21.513874253600285</v>
      </c>
    </row>
    <row r="63" spans="1:6" ht="15.75" thickBot="1" x14ac:dyDescent="0.3">
      <c r="A63" s="56" t="s">
        <v>19</v>
      </c>
      <c r="B63" s="15" t="s">
        <v>20</v>
      </c>
      <c r="C63" s="31" t="s">
        <v>20</v>
      </c>
      <c r="D63" s="31" t="s">
        <v>20</v>
      </c>
      <c r="E63" s="31" t="s">
        <v>20</v>
      </c>
      <c r="F63" s="120" t="s">
        <v>20</v>
      </c>
    </row>
  </sheetData>
  <pageMargins left="0.7" right="0.7" top="0.75" bottom="0.75" header="0.3" footer="0.3"/>
  <pageSetup orientation="portrait" r:id="rId1"/>
  <customProperties>
    <customPr name="DVSECTION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V37"/>
  <sheetViews>
    <sheetView workbookViewId="0">
      <selection activeCell="ES28" sqref="ES28"/>
    </sheetView>
  </sheetViews>
  <sheetFormatPr defaultRowHeight="15" x14ac:dyDescent="0.25"/>
  <sheetData>
    <row r="1" spans="1:256" x14ac:dyDescent="0.25">
      <c r="A1">
        <f>IF(PriceComparison!1:1,"AAAAAF/+3wA=",0)</f>
        <v>0</v>
      </c>
      <c r="B1" t="e">
        <f>AND(PriceComparison!A1,"AAAAAF/+3wE=")</f>
        <v>#VALUE!</v>
      </c>
      <c r="C1" t="e">
        <f>AND(PriceComparison!B1,"AAAAAF/+3wI=")</f>
        <v>#VALUE!</v>
      </c>
      <c r="D1" t="e">
        <f>AND(PriceComparison!C1,"AAAAAF/+3wM=")</f>
        <v>#VALUE!</v>
      </c>
      <c r="E1" t="e">
        <f>AND(PriceComparison!D1,"AAAAAF/+3wQ=")</f>
        <v>#VALUE!</v>
      </c>
      <c r="F1" t="e">
        <f>AND(PriceComparison!E1,"AAAAAF/+3wU=")</f>
        <v>#VALUE!</v>
      </c>
      <c r="G1" t="e">
        <f>AND(PriceComparison!F1,"AAAAAF/+3wY=")</f>
        <v>#VALUE!</v>
      </c>
      <c r="H1" t="e">
        <f>AND(PriceComparison!G1,"AAAAAF/+3wc=")</f>
        <v>#VALUE!</v>
      </c>
      <c r="I1" t="e">
        <f>AND(PriceComparison!H1,"AAAAAF/+3wg=")</f>
        <v>#VALUE!</v>
      </c>
      <c r="J1" t="e">
        <f>AND(PriceComparison!I1,"AAAAAF/+3wk=")</f>
        <v>#VALUE!</v>
      </c>
      <c r="K1" t="e">
        <f>AND(PriceComparison!J1,"AAAAAF/+3wo=")</f>
        <v>#VALUE!</v>
      </c>
      <c r="L1" t="e">
        <f>AND(PriceComparison!K1,"AAAAAF/+3ws=")</f>
        <v>#VALUE!</v>
      </c>
      <c r="M1" t="e">
        <f>AND(PriceComparison!L1,"AAAAAF/+3ww=")</f>
        <v>#VALUE!</v>
      </c>
      <c r="N1">
        <f>IF(PriceComparison!2:2,"AAAAAF/+3w0=",0)</f>
        <v>0</v>
      </c>
      <c r="O1" t="e">
        <f>AND(PriceComparison!A2,"AAAAAF/+3w4=")</f>
        <v>#VALUE!</v>
      </c>
      <c r="P1" t="e">
        <f>AND(PriceComparison!B2,"AAAAAF/+3w8=")</f>
        <v>#VALUE!</v>
      </c>
      <c r="Q1" t="e">
        <f>AND(PriceComparison!C2,"AAAAAF/+3xA=")</f>
        <v>#VALUE!</v>
      </c>
      <c r="R1" t="e">
        <f>AND(PriceComparison!D2,"AAAAAF/+3xE=")</f>
        <v>#VALUE!</v>
      </c>
      <c r="S1" t="e">
        <f>AND(PriceComparison!E2,"AAAAAF/+3xI=")</f>
        <v>#VALUE!</v>
      </c>
      <c r="T1" t="e">
        <f>AND(PriceComparison!F2,"AAAAAF/+3xM=")</f>
        <v>#VALUE!</v>
      </c>
      <c r="U1" t="e">
        <f>AND(PriceComparison!G2,"AAAAAF/+3xQ=")</f>
        <v>#VALUE!</v>
      </c>
      <c r="V1" t="e">
        <f>AND(PriceComparison!H2,"AAAAAF/+3xU=")</f>
        <v>#VALUE!</v>
      </c>
      <c r="W1" t="e">
        <f>AND(PriceComparison!I2,"AAAAAF/+3xY=")</f>
        <v>#VALUE!</v>
      </c>
      <c r="X1" t="e">
        <f>AND(PriceComparison!J2,"AAAAAF/+3xc=")</f>
        <v>#VALUE!</v>
      </c>
      <c r="Y1" t="e">
        <f>AND(PriceComparison!K2,"AAAAAF/+3xg=")</f>
        <v>#VALUE!</v>
      </c>
      <c r="Z1" t="e">
        <f>AND(PriceComparison!L2,"AAAAAF/+3xk=")</f>
        <v>#VALUE!</v>
      </c>
      <c r="AA1">
        <f>IF(PriceComparison!3:3,"AAAAAF/+3xo=",0)</f>
        <v>0</v>
      </c>
      <c r="AB1" t="e">
        <f>AND(PriceComparison!A3,"AAAAAF/+3xs=")</f>
        <v>#VALUE!</v>
      </c>
      <c r="AC1" t="e">
        <f>AND(PriceComparison!B3,"AAAAAF/+3xw=")</f>
        <v>#VALUE!</v>
      </c>
      <c r="AD1" t="e">
        <f>AND(PriceComparison!C3,"AAAAAF/+3x0=")</f>
        <v>#VALUE!</v>
      </c>
      <c r="AE1" t="e">
        <f>AND(PriceComparison!D3,"AAAAAF/+3x4=")</f>
        <v>#VALUE!</v>
      </c>
      <c r="AF1" t="e">
        <f>AND(PriceComparison!E3,"AAAAAF/+3x8=")</f>
        <v>#VALUE!</v>
      </c>
      <c r="AG1" t="e">
        <f>AND(PriceComparison!F3,"AAAAAF/+3yA=")</f>
        <v>#VALUE!</v>
      </c>
      <c r="AH1" t="e">
        <f>AND(PriceComparison!G3,"AAAAAF/+3yE=")</f>
        <v>#VALUE!</v>
      </c>
      <c r="AI1" t="e">
        <f>AND(PriceComparison!H3,"AAAAAF/+3yI=")</f>
        <v>#VALUE!</v>
      </c>
      <c r="AJ1" t="e">
        <f>AND(PriceComparison!I3,"AAAAAF/+3yM=")</f>
        <v>#VALUE!</v>
      </c>
      <c r="AK1" t="e">
        <f>AND(PriceComparison!J3,"AAAAAF/+3yQ=")</f>
        <v>#VALUE!</v>
      </c>
      <c r="AL1" t="e">
        <f>AND(PriceComparison!K3,"AAAAAF/+3yU=")</f>
        <v>#VALUE!</v>
      </c>
      <c r="AM1" t="e">
        <f>AND(PriceComparison!L3,"AAAAAF/+3yY=")</f>
        <v>#VALUE!</v>
      </c>
      <c r="AN1">
        <f>IF(PriceComparison!4:4,"AAAAAF/+3yc=",0)</f>
        <v>0</v>
      </c>
      <c r="AO1" t="e">
        <f>AND(PriceComparison!A4,"AAAAAF/+3yg=")</f>
        <v>#VALUE!</v>
      </c>
      <c r="AP1" t="e">
        <f>AND(PriceComparison!B4,"AAAAAF/+3yk=")</f>
        <v>#VALUE!</v>
      </c>
      <c r="AQ1" t="e">
        <f>AND(PriceComparison!C4,"AAAAAF/+3yo=")</f>
        <v>#VALUE!</v>
      </c>
      <c r="AR1" t="e">
        <f>AND(PriceComparison!D4,"AAAAAF/+3ys=")</f>
        <v>#VALUE!</v>
      </c>
      <c r="AS1" t="e">
        <f>AND(PriceComparison!E4,"AAAAAF/+3yw=")</f>
        <v>#VALUE!</v>
      </c>
      <c r="AT1" t="e">
        <f>AND(PriceComparison!F4,"AAAAAF/+3y0=")</f>
        <v>#VALUE!</v>
      </c>
      <c r="AU1" t="e">
        <f>AND(PriceComparison!G4,"AAAAAF/+3y4=")</f>
        <v>#VALUE!</v>
      </c>
      <c r="AV1" t="e">
        <f>AND(PriceComparison!H4,"AAAAAF/+3y8=")</f>
        <v>#VALUE!</v>
      </c>
      <c r="AW1" t="e">
        <f>AND(PriceComparison!I4,"AAAAAF/+3zA=")</f>
        <v>#VALUE!</v>
      </c>
      <c r="AX1" t="e">
        <f>AND(PriceComparison!J4,"AAAAAF/+3zE=")</f>
        <v>#VALUE!</v>
      </c>
      <c r="AY1" t="e">
        <f>AND(PriceComparison!K4,"AAAAAF/+3zI=")</f>
        <v>#VALUE!</v>
      </c>
      <c r="AZ1" t="e">
        <f>AND(PriceComparison!L4,"AAAAAF/+3zM=")</f>
        <v>#VALUE!</v>
      </c>
      <c r="BA1">
        <f>IF(PriceComparison!5:5,"AAAAAF/+3zQ=",0)</f>
        <v>0</v>
      </c>
      <c r="BB1" t="e">
        <f>AND(PriceComparison!A5,"AAAAAF/+3zU=")</f>
        <v>#VALUE!</v>
      </c>
      <c r="BC1" t="e">
        <f>AND(PriceComparison!B5,"AAAAAF/+3zY=")</f>
        <v>#VALUE!</v>
      </c>
      <c r="BD1" t="e">
        <f>AND(PriceComparison!C5,"AAAAAF/+3zc=")</f>
        <v>#VALUE!</v>
      </c>
      <c r="BE1" t="e">
        <f>AND(PriceComparison!D5,"AAAAAF/+3zg=")</f>
        <v>#VALUE!</v>
      </c>
      <c r="BF1" t="e">
        <f>AND(PriceComparison!E5,"AAAAAF/+3zk=")</f>
        <v>#VALUE!</v>
      </c>
      <c r="BG1" t="e">
        <f>AND(PriceComparison!F5,"AAAAAF/+3zo=")</f>
        <v>#VALUE!</v>
      </c>
      <c r="BH1" t="e">
        <f>AND(PriceComparison!G5,"AAAAAF/+3zs=")</f>
        <v>#VALUE!</v>
      </c>
      <c r="BI1" t="e">
        <f>AND(PriceComparison!H5,"AAAAAF/+3zw=")</f>
        <v>#VALUE!</v>
      </c>
      <c r="BJ1" t="e">
        <f>AND(PriceComparison!I5,"AAAAAF/+3z0=")</f>
        <v>#VALUE!</v>
      </c>
      <c r="BK1" t="e">
        <f>AND(PriceComparison!J5,"AAAAAF/+3z4=")</f>
        <v>#VALUE!</v>
      </c>
      <c r="BL1" t="e">
        <f>AND(PriceComparison!K5,"AAAAAF/+3z8=")</f>
        <v>#VALUE!</v>
      </c>
      <c r="BM1" t="e">
        <f>AND(PriceComparison!L5,"AAAAAF/+30A=")</f>
        <v>#VALUE!</v>
      </c>
      <c r="BN1">
        <f>IF(PriceComparison!6:6,"AAAAAF/+30E=",0)</f>
        <v>0</v>
      </c>
      <c r="BO1" t="e">
        <f>AND(PriceComparison!A6,"AAAAAF/+30I=")</f>
        <v>#VALUE!</v>
      </c>
      <c r="BP1" t="e">
        <f>AND(PriceComparison!B6,"AAAAAF/+30M=")</f>
        <v>#VALUE!</v>
      </c>
      <c r="BQ1" t="e">
        <f>AND(PriceComparison!C6,"AAAAAF/+30Q=")</f>
        <v>#VALUE!</v>
      </c>
      <c r="BR1" t="e">
        <f>AND(PriceComparison!D6,"AAAAAF/+30U=")</f>
        <v>#VALUE!</v>
      </c>
      <c r="BS1" t="e">
        <f>AND(PriceComparison!E6,"AAAAAF/+30Y=")</f>
        <v>#VALUE!</v>
      </c>
      <c r="BT1" t="e">
        <f>AND(PriceComparison!F6,"AAAAAF/+30c=")</f>
        <v>#VALUE!</v>
      </c>
      <c r="BU1" t="e">
        <f>AND(PriceComparison!G6,"AAAAAF/+30g=")</f>
        <v>#VALUE!</v>
      </c>
      <c r="BV1" t="e">
        <f>AND(PriceComparison!H6,"AAAAAF/+30k=")</f>
        <v>#VALUE!</v>
      </c>
      <c r="BW1" t="e">
        <f>AND(PriceComparison!I6,"AAAAAF/+30o=")</f>
        <v>#VALUE!</v>
      </c>
      <c r="BX1" t="e">
        <f>AND(PriceComparison!J6,"AAAAAF/+30s=")</f>
        <v>#VALUE!</v>
      </c>
      <c r="BY1" t="e">
        <f>AND(PriceComparison!K6,"AAAAAF/+30w=")</f>
        <v>#VALUE!</v>
      </c>
      <c r="BZ1" t="e">
        <f>AND(PriceComparison!L6,"AAAAAF/+300=")</f>
        <v>#VALUE!</v>
      </c>
      <c r="CA1">
        <f>IF(PriceComparison!7:7,"AAAAAF/+304=",0)</f>
        <v>0</v>
      </c>
      <c r="CB1" t="e">
        <f>AND(PriceComparison!A7,"AAAAAF/+308=")</f>
        <v>#VALUE!</v>
      </c>
      <c r="CC1" t="e">
        <f>AND(PriceComparison!B7,"AAAAAF/+31A=")</f>
        <v>#VALUE!</v>
      </c>
      <c r="CD1" t="e">
        <f>AND(PriceComparison!C7,"AAAAAF/+31E=")</f>
        <v>#VALUE!</v>
      </c>
      <c r="CE1" t="e">
        <f>AND(PriceComparison!D7,"AAAAAF/+31I=")</f>
        <v>#VALUE!</v>
      </c>
      <c r="CF1" t="e">
        <f>AND(PriceComparison!E7,"AAAAAF/+31M=")</f>
        <v>#VALUE!</v>
      </c>
      <c r="CG1" t="e">
        <f>AND(PriceComparison!F7,"AAAAAF/+31Q=")</f>
        <v>#VALUE!</v>
      </c>
      <c r="CH1" t="e">
        <f>AND(PriceComparison!G7,"AAAAAF/+31U=")</f>
        <v>#VALUE!</v>
      </c>
      <c r="CI1" t="e">
        <f>AND(PriceComparison!H7,"AAAAAF/+31Y=")</f>
        <v>#VALUE!</v>
      </c>
      <c r="CJ1" t="e">
        <f>AND(PriceComparison!I7,"AAAAAF/+31c=")</f>
        <v>#VALUE!</v>
      </c>
      <c r="CK1" t="e">
        <f>AND(PriceComparison!J7,"AAAAAF/+31g=")</f>
        <v>#VALUE!</v>
      </c>
      <c r="CL1" t="e">
        <f>AND(PriceComparison!K7,"AAAAAF/+31k=")</f>
        <v>#VALUE!</v>
      </c>
      <c r="CM1" t="e">
        <f>AND(PriceComparison!L7,"AAAAAF/+31o=")</f>
        <v>#VALUE!</v>
      </c>
      <c r="CN1">
        <f>IF(PriceComparison!8:8,"AAAAAF/+31s=",0)</f>
        <v>0</v>
      </c>
      <c r="CO1" t="e">
        <f>AND(PriceComparison!A8,"AAAAAF/+31w=")</f>
        <v>#VALUE!</v>
      </c>
      <c r="CP1" t="e">
        <f>AND(PriceComparison!B8,"AAAAAF/+310=")</f>
        <v>#VALUE!</v>
      </c>
      <c r="CQ1" t="e">
        <f>AND(PriceComparison!C8,"AAAAAF/+314=")</f>
        <v>#VALUE!</v>
      </c>
      <c r="CR1" t="e">
        <f>AND(PriceComparison!D8,"AAAAAF/+318=")</f>
        <v>#VALUE!</v>
      </c>
      <c r="CS1" t="e">
        <f>AND(PriceComparison!E8,"AAAAAF/+32A=")</f>
        <v>#VALUE!</v>
      </c>
      <c r="CT1" t="e">
        <f>AND(PriceComparison!F8,"AAAAAF/+32E=")</f>
        <v>#VALUE!</v>
      </c>
      <c r="CU1" t="e">
        <f>AND(PriceComparison!G8,"AAAAAF/+32I=")</f>
        <v>#VALUE!</v>
      </c>
      <c r="CV1" t="e">
        <f>AND(PriceComparison!H8,"AAAAAF/+32M=")</f>
        <v>#VALUE!</v>
      </c>
      <c r="CW1" t="e">
        <f>AND(PriceComparison!I8,"AAAAAF/+32Q=")</f>
        <v>#VALUE!</v>
      </c>
      <c r="CX1" t="e">
        <f>AND(PriceComparison!J8,"AAAAAF/+32U=")</f>
        <v>#VALUE!</v>
      </c>
      <c r="CY1" t="e">
        <f>AND(PriceComparison!K8,"AAAAAF/+32Y=")</f>
        <v>#VALUE!</v>
      </c>
      <c r="CZ1" t="e">
        <f>AND(PriceComparison!L8,"AAAAAF/+32c=")</f>
        <v>#VALUE!</v>
      </c>
      <c r="DA1">
        <f>IF(PriceComparison!9:9,"AAAAAF/+32g=",0)</f>
        <v>0</v>
      </c>
      <c r="DB1" t="e">
        <f>AND(PriceComparison!A9,"AAAAAF/+32k=")</f>
        <v>#VALUE!</v>
      </c>
      <c r="DC1" t="e">
        <f>AND(PriceComparison!B9,"AAAAAF/+32o=")</f>
        <v>#VALUE!</v>
      </c>
      <c r="DD1" t="e">
        <f>AND(PriceComparison!C9,"AAAAAF/+32s=")</f>
        <v>#VALUE!</v>
      </c>
      <c r="DE1" t="e">
        <f>AND(PriceComparison!D9,"AAAAAF/+32w=")</f>
        <v>#VALUE!</v>
      </c>
      <c r="DF1" t="e">
        <f>AND(PriceComparison!E9,"AAAAAF/+320=")</f>
        <v>#VALUE!</v>
      </c>
      <c r="DG1" t="e">
        <f>AND(PriceComparison!F9,"AAAAAF/+324=")</f>
        <v>#VALUE!</v>
      </c>
      <c r="DH1" t="e">
        <f>AND(PriceComparison!G9,"AAAAAF/+328=")</f>
        <v>#VALUE!</v>
      </c>
      <c r="DI1" t="e">
        <f>AND(PriceComparison!H9,"AAAAAF/+33A=")</f>
        <v>#VALUE!</v>
      </c>
      <c r="DJ1" t="e">
        <f>AND(PriceComparison!I9,"AAAAAF/+33E=")</f>
        <v>#VALUE!</v>
      </c>
      <c r="DK1" t="e">
        <f>AND(PriceComparison!J9,"AAAAAF/+33I=")</f>
        <v>#VALUE!</v>
      </c>
      <c r="DL1" t="e">
        <f>AND(PriceComparison!K9,"AAAAAF/+33M=")</f>
        <v>#VALUE!</v>
      </c>
      <c r="DM1" t="e">
        <f>AND(PriceComparison!L9,"AAAAAF/+33Q=")</f>
        <v>#VALUE!</v>
      </c>
      <c r="DN1">
        <f>IF(PriceComparison!10:10,"AAAAAF/+33U=",0)</f>
        <v>0</v>
      </c>
      <c r="DO1" t="e">
        <f>AND(PriceComparison!A10,"AAAAAF/+33Y=")</f>
        <v>#VALUE!</v>
      </c>
      <c r="DP1" t="e">
        <f>AND(PriceComparison!B10,"AAAAAF/+33c=")</f>
        <v>#VALUE!</v>
      </c>
      <c r="DQ1" t="e">
        <f>AND(PriceComparison!C10,"AAAAAF/+33g=")</f>
        <v>#VALUE!</v>
      </c>
      <c r="DR1" t="e">
        <f>AND(PriceComparison!D10,"AAAAAF/+33k=")</f>
        <v>#VALUE!</v>
      </c>
      <c r="DS1" t="e">
        <f>AND(PriceComparison!E10,"AAAAAF/+33o=")</f>
        <v>#VALUE!</v>
      </c>
      <c r="DT1" t="e">
        <f>AND(PriceComparison!F10,"AAAAAF/+33s=")</f>
        <v>#VALUE!</v>
      </c>
      <c r="DU1" t="e">
        <f>AND(PriceComparison!G10,"AAAAAF/+33w=")</f>
        <v>#VALUE!</v>
      </c>
      <c r="DV1" t="e">
        <f>AND(PriceComparison!H10,"AAAAAF/+330=")</f>
        <v>#VALUE!</v>
      </c>
      <c r="DW1" t="e">
        <f>AND(PriceComparison!I10,"AAAAAF/+334=")</f>
        <v>#VALUE!</v>
      </c>
      <c r="DX1" t="e">
        <f>AND(PriceComparison!J10,"AAAAAF/+338=")</f>
        <v>#VALUE!</v>
      </c>
      <c r="DY1" t="e">
        <f>AND(PriceComparison!K10,"AAAAAF/+34A=")</f>
        <v>#VALUE!</v>
      </c>
      <c r="DZ1" t="e">
        <f>AND(PriceComparison!L10,"AAAAAF/+34E=")</f>
        <v>#VALUE!</v>
      </c>
      <c r="EA1">
        <f>IF(PriceComparison!11:11,"AAAAAF/+34I=",0)</f>
        <v>0</v>
      </c>
      <c r="EB1" t="e">
        <f>AND(PriceComparison!A11,"AAAAAF/+34M=")</f>
        <v>#VALUE!</v>
      </c>
      <c r="EC1" t="e">
        <f>AND(PriceComparison!B11,"AAAAAF/+34Q=")</f>
        <v>#VALUE!</v>
      </c>
      <c r="ED1" t="e">
        <f>AND(PriceComparison!C11,"AAAAAF/+34U=")</f>
        <v>#VALUE!</v>
      </c>
      <c r="EE1" t="e">
        <f>AND(PriceComparison!D11,"AAAAAF/+34Y=")</f>
        <v>#VALUE!</v>
      </c>
      <c r="EF1" t="e">
        <f>AND(PriceComparison!E11,"AAAAAF/+34c=")</f>
        <v>#VALUE!</v>
      </c>
      <c r="EG1" t="e">
        <f>AND(PriceComparison!F11,"AAAAAF/+34g=")</f>
        <v>#VALUE!</v>
      </c>
      <c r="EH1" t="e">
        <f>AND(PriceComparison!G11,"AAAAAF/+34k=")</f>
        <v>#VALUE!</v>
      </c>
      <c r="EI1" t="e">
        <f>AND(PriceComparison!H11,"AAAAAF/+34o=")</f>
        <v>#VALUE!</v>
      </c>
      <c r="EJ1" t="e">
        <f>AND(PriceComparison!I11,"AAAAAF/+34s=")</f>
        <v>#VALUE!</v>
      </c>
      <c r="EK1" t="e">
        <f>AND(PriceComparison!J11,"AAAAAF/+34w=")</f>
        <v>#VALUE!</v>
      </c>
      <c r="EL1" t="e">
        <f>AND(PriceComparison!K11,"AAAAAF/+340=")</f>
        <v>#VALUE!</v>
      </c>
      <c r="EM1" t="e">
        <f>AND(PriceComparison!L11,"AAAAAF/+344=")</f>
        <v>#VALUE!</v>
      </c>
      <c r="EN1">
        <f>IF(PriceComparison!12:12,"AAAAAF/+348=",0)</f>
        <v>0</v>
      </c>
      <c r="EO1" t="e">
        <f>AND(PriceComparison!A12,"AAAAAF/+35A=")</f>
        <v>#VALUE!</v>
      </c>
      <c r="EP1" t="e">
        <f>AND(PriceComparison!B12,"AAAAAF/+35E=")</f>
        <v>#VALUE!</v>
      </c>
      <c r="EQ1" t="e">
        <f>AND(PriceComparison!C12,"AAAAAF/+35I=")</f>
        <v>#VALUE!</v>
      </c>
      <c r="ER1" t="e">
        <f>AND(PriceComparison!D12,"AAAAAF/+35M=")</f>
        <v>#VALUE!</v>
      </c>
      <c r="ES1" t="e">
        <f>AND(PriceComparison!E12,"AAAAAF/+35Q=")</f>
        <v>#VALUE!</v>
      </c>
      <c r="ET1" t="e">
        <f>AND(PriceComparison!F12,"AAAAAF/+35U=")</f>
        <v>#VALUE!</v>
      </c>
      <c r="EU1" t="e">
        <f>AND(PriceComparison!G12,"AAAAAF/+35Y=")</f>
        <v>#VALUE!</v>
      </c>
      <c r="EV1" t="e">
        <f>AND(PriceComparison!H12,"AAAAAF/+35c=")</f>
        <v>#VALUE!</v>
      </c>
      <c r="EW1" t="e">
        <f>AND(PriceComparison!I12,"AAAAAF/+35g=")</f>
        <v>#VALUE!</v>
      </c>
      <c r="EX1" t="e">
        <f>AND(PriceComparison!J12,"AAAAAF/+35k=")</f>
        <v>#VALUE!</v>
      </c>
      <c r="EY1" t="e">
        <f>AND(PriceComparison!K12,"AAAAAF/+35o=")</f>
        <v>#VALUE!</v>
      </c>
      <c r="EZ1" t="e">
        <f>AND(PriceComparison!L12,"AAAAAF/+35s=")</f>
        <v>#VALUE!</v>
      </c>
      <c r="FA1">
        <f>IF(PriceComparison!13:13,"AAAAAF/+35w=",0)</f>
        <v>0</v>
      </c>
      <c r="FB1" t="e">
        <f>AND(PriceComparison!A13,"AAAAAF/+350=")</f>
        <v>#VALUE!</v>
      </c>
      <c r="FC1" t="e">
        <f>AND(PriceComparison!B13,"AAAAAF/+354=")</f>
        <v>#VALUE!</v>
      </c>
      <c r="FD1" t="e">
        <f>AND(PriceComparison!C13,"AAAAAF/+358=")</f>
        <v>#VALUE!</v>
      </c>
      <c r="FE1" t="e">
        <f>AND(PriceComparison!D13,"AAAAAF/+36A=")</f>
        <v>#VALUE!</v>
      </c>
      <c r="FF1" t="e">
        <f>AND(PriceComparison!E13,"AAAAAF/+36E=")</f>
        <v>#VALUE!</v>
      </c>
      <c r="FG1" t="e">
        <f>AND(PriceComparison!F13,"AAAAAF/+36I=")</f>
        <v>#VALUE!</v>
      </c>
      <c r="FH1" t="e">
        <f>AND(PriceComparison!G13,"AAAAAF/+36M=")</f>
        <v>#VALUE!</v>
      </c>
      <c r="FI1" t="e">
        <f>AND(PriceComparison!H13,"AAAAAF/+36Q=")</f>
        <v>#VALUE!</v>
      </c>
      <c r="FJ1" t="e">
        <f>AND(PriceComparison!I13,"AAAAAF/+36U=")</f>
        <v>#VALUE!</v>
      </c>
      <c r="FK1" t="e">
        <f>AND(PriceComparison!J13,"AAAAAF/+36Y=")</f>
        <v>#VALUE!</v>
      </c>
      <c r="FL1" t="e">
        <f>AND(PriceComparison!K13,"AAAAAF/+36c=")</f>
        <v>#VALUE!</v>
      </c>
      <c r="FM1" t="e">
        <f>AND(PriceComparison!L13,"AAAAAF/+36g=")</f>
        <v>#VALUE!</v>
      </c>
      <c r="FN1">
        <f>IF(PriceComparison!14:14,"AAAAAF/+36k=",0)</f>
        <v>0</v>
      </c>
      <c r="FO1" t="e">
        <f>AND(PriceComparison!A14,"AAAAAF/+36o=")</f>
        <v>#VALUE!</v>
      </c>
      <c r="FP1" t="e">
        <f>AND(PriceComparison!B14,"AAAAAF/+36s=")</f>
        <v>#VALUE!</v>
      </c>
      <c r="FQ1" t="e">
        <f>AND(PriceComparison!C14,"AAAAAF/+36w=")</f>
        <v>#VALUE!</v>
      </c>
      <c r="FR1" t="e">
        <f>AND(PriceComparison!D14,"AAAAAF/+360=")</f>
        <v>#VALUE!</v>
      </c>
      <c r="FS1" t="e">
        <f>AND(PriceComparison!E14,"AAAAAF/+364=")</f>
        <v>#VALUE!</v>
      </c>
      <c r="FT1" t="e">
        <f>AND(PriceComparison!F14,"AAAAAF/+368=")</f>
        <v>#VALUE!</v>
      </c>
      <c r="FU1" t="e">
        <f>AND(PriceComparison!G14,"AAAAAF/+37A=")</f>
        <v>#VALUE!</v>
      </c>
      <c r="FV1" t="e">
        <f>AND(PriceComparison!H14,"AAAAAF/+37E=")</f>
        <v>#VALUE!</v>
      </c>
      <c r="FW1" t="e">
        <f>AND(PriceComparison!I14,"AAAAAF/+37I=")</f>
        <v>#VALUE!</v>
      </c>
      <c r="FX1" t="e">
        <f>AND(PriceComparison!J14,"AAAAAF/+37M=")</f>
        <v>#VALUE!</v>
      </c>
      <c r="FY1" t="e">
        <f>AND(PriceComparison!K14,"AAAAAF/+37Q=")</f>
        <v>#VALUE!</v>
      </c>
      <c r="FZ1" t="e">
        <f>AND(PriceComparison!L14,"AAAAAF/+37U=")</f>
        <v>#VALUE!</v>
      </c>
      <c r="GA1">
        <f>IF(PriceComparison!15:15,"AAAAAF/+37Y=",0)</f>
        <v>0</v>
      </c>
      <c r="GB1" t="e">
        <f>AND(PriceComparison!A15,"AAAAAF/+37c=")</f>
        <v>#VALUE!</v>
      </c>
      <c r="GC1" t="e">
        <f>AND(PriceComparison!B15,"AAAAAF/+37g=")</f>
        <v>#VALUE!</v>
      </c>
      <c r="GD1" t="e">
        <f>AND(PriceComparison!C15,"AAAAAF/+37k=")</f>
        <v>#VALUE!</v>
      </c>
      <c r="GE1" t="e">
        <f>AND(PriceComparison!D15,"AAAAAF/+37o=")</f>
        <v>#VALUE!</v>
      </c>
      <c r="GF1" t="e">
        <f>AND(PriceComparison!E15,"AAAAAF/+37s=")</f>
        <v>#VALUE!</v>
      </c>
      <c r="GG1" t="e">
        <f>AND(PriceComparison!F15,"AAAAAF/+37w=")</f>
        <v>#VALUE!</v>
      </c>
      <c r="GH1" t="e">
        <f>AND(PriceComparison!G15,"AAAAAF/+370=")</f>
        <v>#VALUE!</v>
      </c>
      <c r="GI1" t="e">
        <f>AND(PriceComparison!H15,"AAAAAF/+374=")</f>
        <v>#VALUE!</v>
      </c>
      <c r="GJ1" t="e">
        <f>AND(PriceComparison!I15,"AAAAAF/+378=")</f>
        <v>#VALUE!</v>
      </c>
      <c r="GK1" t="e">
        <f>AND(PriceComparison!J15,"AAAAAF/+38A=")</f>
        <v>#VALUE!</v>
      </c>
      <c r="GL1" t="e">
        <f>AND(PriceComparison!K15,"AAAAAF/+38E=")</f>
        <v>#VALUE!</v>
      </c>
      <c r="GM1" t="e">
        <f>AND(PriceComparison!L15,"AAAAAF/+38I=")</f>
        <v>#VALUE!</v>
      </c>
      <c r="GN1">
        <f>IF(PriceComparison!16:16,"AAAAAF/+38M=",0)</f>
        <v>0</v>
      </c>
      <c r="GO1" t="e">
        <f>AND(PriceComparison!A16,"AAAAAF/+38Q=")</f>
        <v>#VALUE!</v>
      </c>
      <c r="GP1" t="e">
        <f>AND(PriceComparison!B16,"AAAAAF/+38U=")</f>
        <v>#VALUE!</v>
      </c>
      <c r="GQ1" t="e">
        <f>AND(PriceComparison!C16,"AAAAAF/+38Y=")</f>
        <v>#VALUE!</v>
      </c>
      <c r="GR1" t="e">
        <f>AND(PriceComparison!D16,"AAAAAF/+38c=")</f>
        <v>#VALUE!</v>
      </c>
      <c r="GS1" t="e">
        <f>AND(PriceComparison!E16,"AAAAAF/+38g=")</f>
        <v>#VALUE!</v>
      </c>
      <c r="GT1" t="e">
        <f>AND(PriceComparison!F16,"AAAAAF/+38k=")</f>
        <v>#VALUE!</v>
      </c>
      <c r="GU1" t="e">
        <f>AND(PriceComparison!G16,"AAAAAF/+38o=")</f>
        <v>#VALUE!</v>
      </c>
      <c r="GV1" t="e">
        <f>AND(PriceComparison!H16,"AAAAAF/+38s=")</f>
        <v>#VALUE!</v>
      </c>
      <c r="GW1" t="e">
        <f>AND(PriceComparison!I16,"AAAAAF/+38w=")</f>
        <v>#VALUE!</v>
      </c>
      <c r="GX1" t="e">
        <f>AND(PriceComparison!J16,"AAAAAF/+380=")</f>
        <v>#VALUE!</v>
      </c>
      <c r="GY1" t="e">
        <f>AND(PriceComparison!K16,"AAAAAF/+384=")</f>
        <v>#VALUE!</v>
      </c>
      <c r="GZ1" t="e">
        <f>AND(PriceComparison!L16,"AAAAAF/+388=")</f>
        <v>#VALUE!</v>
      </c>
      <c r="HA1">
        <f>IF(PriceComparison!17:17,"AAAAAF/+39A=",0)</f>
        <v>0</v>
      </c>
      <c r="HB1" t="e">
        <f>AND(PriceComparison!A17,"AAAAAF/+39E=")</f>
        <v>#VALUE!</v>
      </c>
      <c r="HC1" t="e">
        <f>AND(PriceComparison!B17,"AAAAAF/+39I=")</f>
        <v>#VALUE!</v>
      </c>
      <c r="HD1" t="e">
        <f>AND(PriceComparison!C17,"AAAAAF/+39M=")</f>
        <v>#VALUE!</v>
      </c>
      <c r="HE1" t="e">
        <f>AND(PriceComparison!D17,"AAAAAF/+39Q=")</f>
        <v>#VALUE!</v>
      </c>
      <c r="HF1" t="e">
        <f>AND(PriceComparison!E17,"AAAAAF/+39U=")</f>
        <v>#VALUE!</v>
      </c>
      <c r="HG1" t="e">
        <f>AND(PriceComparison!F17,"AAAAAF/+39Y=")</f>
        <v>#VALUE!</v>
      </c>
      <c r="HH1" t="e">
        <f>AND(PriceComparison!G17,"AAAAAF/+39c=")</f>
        <v>#VALUE!</v>
      </c>
      <c r="HI1" t="e">
        <f>AND(PriceComparison!H17,"AAAAAF/+39g=")</f>
        <v>#VALUE!</v>
      </c>
      <c r="HJ1" t="e">
        <f>AND(PriceComparison!I17,"AAAAAF/+39k=")</f>
        <v>#VALUE!</v>
      </c>
      <c r="HK1" t="e">
        <f>AND(PriceComparison!J17,"AAAAAF/+39o=")</f>
        <v>#VALUE!</v>
      </c>
      <c r="HL1" t="e">
        <f>AND(PriceComparison!K17,"AAAAAF/+39s=")</f>
        <v>#VALUE!</v>
      </c>
      <c r="HM1" t="e">
        <f>AND(PriceComparison!L17,"AAAAAF/+39w=")</f>
        <v>#VALUE!</v>
      </c>
      <c r="HN1">
        <f>IF(PriceComparison!18:18,"AAAAAF/+390=",0)</f>
        <v>0</v>
      </c>
      <c r="HO1" t="e">
        <f>AND(PriceComparison!A18,"AAAAAF/+394=")</f>
        <v>#VALUE!</v>
      </c>
      <c r="HP1" t="e">
        <f>AND(PriceComparison!B18,"AAAAAF/+398=")</f>
        <v>#VALUE!</v>
      </c>
      <c r="HQ1" t="e">
        <f>AND(PriceComparison!C18,"AAAAAF/+3+A=")</f>
        <v>#VALUE!</v>
      </c>
      <c r="HR1" t="e">
        <f>AND(PriceComparison!D18,"AAAAAF/+3+E=")</f>
        <v>#VALUE!</v>
      </c>
      <c r="HS1" t="e">
        <f>AND(PriceComparison!E18,"AAAAAF/+3+I=")</f>
        <v>#VALUE!</v>
      </c>
      <c r="HT1" t="e">
        <f>AND(PriceComparison!F18,"AAAAAF/+3+M=")</f>
        <v>#VALUE!</v>
      </c>
      <c r="HU1" t="e">
        <f>AND(PriceComparison!G18,"AAAAAF/+3+Q=")</f>
        <v>#VALUE!</v>
      </c>
      <c r="HV1" t="e">
        <f>AND(PriceComparison!H18,"AAAAAF/+3+U=")</f>
        <v>#VALUE!</v>
      </c>
      <c r="HW1" t="e">
        <f>AND(PriceComparison!I18,"AAAAAF/+3+Y=")</f>
        <v>#VALUE!</v>
      </c>
      <c r="HX1" t="e">
        <f>AND(PriceComparison!J18,"AAAAAF/+3+c=")</f>
        <v>#VALUE!</v>
      </c>
      <c r="HY1" t="e">
        <f>AND(PriceComparison!K18,"AAAAAF/+3+g=")</f>
        <v>#VALUE!</v>
      </c>
      <c r="HZ1" t="e">
        <f>AND(PriceComparison!L18,"AAAAAF/+3+k=")</f>
        <v>#VALUE!</v>
      </c>
      <c r="IA1">
        <f>IF(PriceComparison!19:19,"AAAAAF/+3+o=",0)</f>
        <v>0</v>
      </c>
      <c r="IB1" t="e">
        <f>AND(PriceComparison!A19,"AAAAAF/+3+s=")</f>
        <v>#VALUE!</v>
      </c>
      <c r="IC1" t="e">
        <f>AND(PriceComparison!B19,"AAAAAF/+3+w=")</f>
        <v>#VALUE!</v>
      </c>
      <c r="ID1" t="e">
        <f>AND(PriceComparison!C19,"AAAAAF/+3+0=")</f>
        <v>#VALUE!</v>
      </c>
      <c r="IE1" t="e">
        <f>AND(PriceComparison!D19,"AAAAAF/+3+4=")</f>
        <v>#VALUE!</v>
      </c>
      <c r="IF1" t="e">
        <f>AND(PriceComparison!E19,"AAAAAF/+3+8=")</f>
        <v>#VALUE!</v>
      </c>
      <c r="IG1" t="e">
        <f>AND(PriceComparison!F19,"AAAAAF/+3/A=")</f>
        <v>#VALUE!</v>
      </c>
      <c r="IH1" t="e">
        <f>AND(PriceComparison!G19,"AAAAAF/+3/E=")</f>
        <v>#VALUE!</v>
      </c>
      <c r="II1" t="e">
        <f>AND(PriceComparison!H19,"AAAAAF/+3/I=")</f>
        <v>#VALUE!</v>
      </c>
      <c r="IJ1" t="e">
        <f>AND(PriceComparison!I19,"AAAAAF/+3/M=")</f>
        <v>#VALUE!</v>
      </c>
      <c r="IK1" t="e">
        <f>AND(PriceComparison!J19,"AAAAAF/+3/Q=")</f>
        <v>#VALUE!</v>
      </c>
      <c r="IL1" t="e">
        <f>AND(PriceComparison!K19,"AAAAAF/+3/U=")</f>
        <v>#VALUE!</v>
      </c>
      <c r="IM1" t="e">
        <f>AND(PriceComparison!L19,"AAAAAF/+3/Y=")</f>
        <v>#VALUE!</v>
      </c>
      <c r="IN1">
        <f>IF(PriceComparison!20:20,"AAAAAF/+3/c=",0)</f>
        <v>0</v>
      </c>
      <c r="IO1" t="e">
        <f>AND(PriceComparison!A20,"AAAAAF/+3/g=")</f>
        <v>#VALUE!</v>
      </c>
      <c r="IP1" t="e">
        <f>AND(PriceComparison!B20,"AAAAAF/+3/k=")</f>
        <v>#VALUE!</v>
      </c>
      <c r="IQ1" t="e">
        <f>AND(PriceComparison!C20,"AAAAAF/+3/o=")</f>
        <v>#VALUE!</v>
      </c>
      <c r="IR1" t="e">
        <f>AND(PriceComparison!D20,"AAAAAF/+3/s=")</f>
        <v>#VALUE!</v>
      </c>
      <c r="IS1" t="e">
        <f>AND(PriceComparison!E20,"AAAAAF/+3/w=")</f>
        <v>#VALUE!</v>
      </c>
      <c r="IT1" t="e">
        <f>AND(PriceComparison!F20,"AAAAAF/+3/0=")</f>
        <v>#VALUE!</v>
      </c>
      <c r="IU1" t="e">
        <f>AND(PriceComparison!G20,"AAAAAF/+3/4=")</f>
        <v>#VALUE!</v>
      </c>
      <c r="IV1" t="e">
        <f>AND(PriceComparison!H20,"AAAAAF/+3/8=")</f>
        <v>#VALUE!</v>
      </c>
    </row>
    <row r="2" spans="1:256" x14ac:dyDescent="0.25">
      <c r="A2" t="e">
        <f>AND(PriceComparison!I20,"AAAAAD/uewA=")</f>
        <v>#VALUE!</v>
      </c>
      <c r="B2" t="e">
        <f>AND(PriceComparison!J20,"AAAAAD/uewE=")</f>
        <v>#VALUE!</v>
      </c>
      <c r="C2" t="e">
        <f>AND(PriceComparison!K20,"AAAAAD/uewI=")</f>
        <v>#VALUE!</v>
      </c>
      <c r="D2" t="e">
        <f>AND(PriceComparison!L20,"AAAAAD/uewM=")</f>
        <v>#VALUE!</v>
      </c>
      <c r="E2" t="e">
        <f>IF(PriceComparison!21:21,"AAAAAD/uewQ=",0)</f>
        <v>#VALUE!</v>
      </c>
      <c r="F2" t="e">
        <f>AND(PriceComparison!A21,"AAAAAD/uewU=")</f>
        <v>#VALUE!</v>
      </c>
      <c r="G2" t="e">
        <f>AND(PriceComparison!B21,"AAAAAD/uewY=")</f>
        <v>#VALUE!</v>
      </c>
      <c r="H2" t="e">
        <f>AND(PriceComparison!C21,"AAAAAD/uewc=")</f>
        <v>#VALUE!</v>
      </c>
      <c r="I2" t="e">
        <f>AND(PriceComparison!D21,"AAAAAD/uewg=")</f>
        <v>#VALUE!</v>
      </c>
      <c r="J2" t="e">
        <f>AND(PriceComparison!E21,"AAAAAD/uewk=")</f>
        <v>#VALUE!</v>
      </c>
      <c r="K2" t="e">
        <f>AND(PriceComparison!F21,"AAAAAD/uewo=")</f>
        <v>#VALUE!</v>
      </c>
      <c r="L2" t="e">
        <f>AND(PriceComparison!G21,"AAAAAD/uews=")</f>
        <v>#VALUE!</v>
      </c>
      <c r="M2" t="e">
        <f>AND(PriceComparison!H21,"AAAAAD/ueww=")</f>
        <v>#VALUE!</v>
      </c>
      <c r="N2" t="e">
        <f>AND(PriceComparison!I21,"AAAAAD/uew0=")</f>
        <v>#VALUE!</v>
      </c>
      <c r="O2" t="e">
        <f>AND(PriceComparison!J21,"AAAAAD/uew4=")</f>
        <v>#VALUE!</v>
      </c>
      <c r="P2" t="e">
        <f>AND(PriceComparison!K21,"AAAAAD/uew8=")</f>
        <v>#VALUE!</v>
      </c>
      <c r="Q2" t="e">
        <f>AND(PriceComparison!L21,"AAAAAD/uexA=")</f>
        <v>#VALUE!</v>
      </c>
      <c r="R2">
        <f>IF(PriceComparison!22:22,"AAAAAD/uexE=",0)</f>
        <v>0</v>
      </c>
      <c r="S2" t="e">
        <f>AND(PriceComparison!A22,"AAAAAD/uexI=")</f>
        <v>#VALUE!</v>
      </c>
      <c r="T2" t="e">
        <f>AND(PriceComparison!B22,"AAAAAD/uexM=")</f>
        <v>#VALUE!</v>
      </c>
      <c r="U2" t="e">
        <f>AND(PriceComparison!C22,"AAAAAD/uexQ=")</f>
        <v>#VALUE!</v>
      </c>
      <c r="V2" t="e">
        <f>AND(PriceComparison!D22,"AAAAAD/uexU=")</f>
        <v>#VALUE!</v>
      </c>
      <c r="W2" t="e">
        <f>AND(PriceComparison!E22,"AAAAAD/uexY=")</f>
        <v>#VALUE!</v>
      </c>
      <c r="X2" t="e">
        <f>AND(PriceComparison!F22,"AAAAAD/uexc=")</f>
        <v>#VALUE!</v>
      </c>
      <c r="Y2" t="e">
        <f>AND(PriceComparison!G22,"AAAAAD/uexg=")</f>
        <v>#VALUE!</v>
      </c>
      <c r="Z2" t="e">
        <f>AND(PriceComparison!H22,"AAAAAD/uexk=")</f>
        <v>#VALUE!</v>
      </c>
      <c r="AA2" t="e">
        <f>AND(PriceComparison!I22,"AAAAAD/uexo=")</f>
        <v>#VALUE!</v>
      </c>
      <c r="AB2" t="e">
        <f>AND(PriceComparison!J22,"AAAAAD/uexs=")</f>
        <v>#VALUE!</v>
      </c>
      <c r="AC2" t="e">
        <f>AND(PriceComparison!K22,"AAAAAD/uexw=")</f>
        <v>#VALUE!</v>
      </c>
      <c r="AD2" t="e">
        <f>AND(PriceComparison!L22,"AAAAAD/uex0=")</f>
        <v>#VALUE!</v>
      </c>
      <c r="AE2">
        <f>IF(PriceComparison!23:23,"AAAAAD/uex4=",0)</f>
        <v>0</v>
      </c>
      <c r="AF2" t="e">
        <f>AND(PriceComparison!A23,"AAAAAD/uex8=")</f>
        <v>#VALUE!</v>
      </c>
      <c r="AG2" t="e">
        <f>AND(PriceComparison!B23,"AAAAAD/ueyA=")</f>
        <v>#VALUE!</v>
      </c>
      <c r="AH2" t="e">
        <f>AND(PriceComparison!C23,"AAAAAD/ueyE=")</f>
        <v>#VALUE!</v>
      </c>
      <c r="AI2" t="e">
        <f>AND(PriceComparison!D23,"AAAAAD/ueyI=")</f>
        <v>#VALUE!</v>
      </c>
      <c r="AJ2" t="e">
        <f>AND(PriceComparison!E23,"AAAAAD/ueyM=")</f>
        <v>#VALUE!</v>
      </c>
      <c r="AK2" t="e">
        <f>AND(PriceComparison!F23,"AAAAAD/ueyQ=")</f>
        <v>#VALUE!</v>
      </c>
      <c r="AL2" t="e">
        <f>AND(PriceComparison!G23,"AAAAAD/ueyU=")</f>
        <v>#VALUE!</v>
      </c>
      <c r="AM2" t="e">
        <f>AND(PriceComparison!H23,"AAAAAD/ueyY=")</f>
        <v>#VALUE!</v>
      </c>
      <c r="AN2" t="e">
        <f>AND(PriceComparison!I23,"AAAAAD/ueyc=")</f>
        <v>#VALUE!</v>
      </c>
      <c r="AO2" t="e">
        <f>AND(PriceComparison!J23,"AAAAAD/ueyg=")</f>
        <v>#VALUE!</v>
      </c>
      <c r="AP2" t="e">
        <f>AND(PriceComparison!K23,"AAAAAD/ueyk=")</f>
        <v>#VALUE!</v>
      </c>
      <c r="AQ2" t="e">
        <f>AND(PriceComparison!L23,"AAAAAD/ueyo=")</f>
        <v>#VALUE!</v>
      </c>
      <c r="AR2">
        <f>IF(PriceComparison!24:24,"AAAAAD/ueys=",0)</f>
        <v>0</v>
      </c>
      <c r="AS2" t="e">
        <f>AND(PriceComparison!A24,"AAAAAD/ueyw=")</f>
        <v>#VALUE!</v>
      </c>
      <c r="AT2" t="e">
        <f>AND(PriceComparison!B24,"AAAAAD/uey0=")</f>
        <v>#VALUE!</v>
      </c>
      <c r="AU2" t="e">
        <f>AND(PriceComparison!C24,"AAAAAD/uey4=")</f>
        <v>#VALUE!</v>
      </c>
      <c r="AV2" t="e">
        <f>AND(PriceComparison!D24,"AAAAAD/uey8=")</f>
        <v>#VALUE!</v>
      </c>
      <c r="AW2" t="e">
        <f>AND(PriceComparison!E24,"AAAAAD/uezA=")</f>
        <v>#VALUE!</v>
      </c>
      <c r="AX2" t="e">
        <f>AND(PriceComparison!F24,"AAAAAD/uezE=")</f>
        <v>#VALUE!</v>
      </c>
      <c r="AY2" t="e">
        <f>AND(PriceComparison!G24,"AAAAAD/uezI=")</f>
        <v>#VALUE!</v>
      </c>
      <c r="AZ2" t="e">
        <f>AND(PriceComparison!H24,"AAAAAD/uezM=")</f>
        <v>#VALUE!</v>
      </c>
      <c r="BA2" t="e">
        <f>AND(PriceComparison!I24,"AAAAAD/uezQ=")</f>
        <v>#VALUE!</v>
      </c>
      <c r="BB2" t="e">
        <f>AND(PriceComparison!J24,"AAAAAD/uezU=")</f>
        <v>#VALUE!</v>
      </c>
      <c r="BC2" t="e">
        <f>AND(PriceComparison!K24,"AAAAAD/uezY=")</f>
        <v>#VALUE!</v>
      </c>
      <c r="BD2" t="e">
        <f>AND(PriceComparison!L24,"AAAAAD/uezc=")</f>
        <v>#VALUE!</v>
      </c>
      <c r="BE2">
        <f>IF(PriceComparison!25:25,"AAAAAD/uezg=",0)</f>
        <v>0</v>
      </c>
      <c r="BF2" t="e">
        <f>AND(PriceComparison!A25,"AAAAAD/uezk=")</f>
        <v>#VALUE!</v>
      </c>
      <c r="BG2" t="e">
        <f>AND(PriceComparison!B25,"AAAAAD/uezo=")</f>
        <v>#VALUE!</v>
      </c>
      <c r="BH2" t="e">
        <f>AND(PriceComparison!C25,"AAAAAD/uezs=")</f>
        <v>#VALUE!</v>
      </c>
      <c r="BI2" t="e">
        <f>AND(PriceComparison!D25,"AAAAAD/uezw=")</f>
        <v>#VALUE!</v>
      </c>
      <c r="BJ2" t="e">
        <f>AND(PriceComparison!E25,"AAAAAD/uez0=")</f>
        <v>#VALUE!</v>
      </c>
      <c r="BK2" t="e">
        <f>AND(PriceComparison!F25,"AAAAAD/uez4=")</f>
        <v>#VALUE!</v>
      </c>
      <c r="BL2" t="e">
        <f>AND(PriceComparison!G25,"AAAAAD/uez8=")</f>
        <v>#VALUE!</v>
      </c>
      <c r="BM2" t="e">
        <f>AND(PriceComparison!H25,"AAAAAD/ue0A=")</f>
        <v>#VALUE!</v>
      </c>
      <c r="BN2" t="e">
        <f>AND(PriceComparison!I25,"AAAAAD/ue0E=")</f>
        <v>#VALUE!</v>
      </c>
      <c r="BO2" t="e">
        <f>AND(PriceComparison!J25,"AAAAAD/ue0I=")</f>
        <v>#VALUE!</v>
      </c>
      <c r="BP2" t="e">
        <f>AND(PriceComparison!K25,"AAAAAD/ue0M=")</f>
        <v>#VALUE!</v>
      </c>
      <c r="BQ2" t="e">
        <f>AND(PriceComparison!L25,"AAAAAD/ue0Q=")</f>
        <v>#VALUE!</v>
      </c>
      <c r="BR2">
        <f>IF(PriceComparison!26:26,"AAAAAD/ue0U=",0)</f>
        <v>0</v>
      </c>
      <c r="BS2" t="e">
        <f>AND(PriceComparison!A26,"AAAAAD/ue0Y=")</f>
        <v>#VALUE!</v>
      </c>
      <c r="BT2" t="e">
        <f>AND(PriceComparison!B26,"AAAAAD/ue0c=")</f>
        <v>#VALUE!</v>
      </c>
      <c r="BU2" t="e">
        <f>AND(PriceComparison!C26,"AAAAAD/ue0g=")</f>
        <v>#VALUE!</v>
      </c>
      <c r="BV2" t="e">
        <f>AND(PriceComparison!D26,"AAAAAD/ue0k=")</f>
        <v>#VALUE!</v>
      </c>
      <c r="BW2" t="e">
        <f>AND(PriceComparison!E26,"AAAAAD/ue0o=")</f>
        <v>#VALUE!</v>
      </c>
      <c r="BX2" t="e">
        <f>AND(PriceComparison!F26,"AAAAAD/ue0s=")</f>
        <v>#VALUE!</v>
      </c>
      <c r="BY2" t="e">
        <f>AND(PriceComparison!G26,"AAAAAD/ue0w=")</f>
        <v>#VALUE!</v>
      </c>
      <c r="BZ2" t="e">
        <f>AND(PriceComparison!H26,"AAAAAD/ue00=")</f>
        <v>#VALUE!</v>
      </c>
      <c r="CA2" t="e">
        <f>AND(PriceComparison!I26,"AAAAAD/ue04=")</f>
        <v>#VALUE!</v>
      </c>
      <c r="CB2" t="e">
        <f>AND(PriceComparison!J26,"AAAAAD/ue08=")</f>
        <v>#VALUE!</v>
      </c>
      <c r="CC2" t="e">
        <f>AND(PriceComparison!K26,"AAAAAD/ue1A=")</f>
        <v>#VALUE!</v>
      </c>
      <c r="CD2" t="e">
        <f>AND(PriceComparison!L26,"AAAAAD/ue1E=")</f>
        <v>#VALUE!</v>
      </c>
      <c r="CE2">
        <f>IF(PriceComparison!27:27,"AAAAAD/ue1I=",0)</f>
        <v>0</v>
      </c>
      <c r="CF2" t="e">
        <f>AND(PriceComparison!A27,"AAAAAD/ue1M=")</f>
        <v>#VALUE!</v>
      </c>
      <c r="CG2" t="e">
        <f>AND(PriceComparison!B27,"AAAAAD/ue1Q=")</f>
        <v>#VALUE!</v>
      </c>
      <c r="CH2" t="e">
        <f>AND(PriceComparison!C27,"AAAAAD/ue1U=")</f>
        <v>#VALUE!</v>
      </c>
      <c r="CI2" t="e">
        <f>AND(PriceComparison!D27,"AAAAAD/ue1Y=")</f>
        <v>#VALUE!</v>
      </c>
      <c r="CJ2" t="e">
        <f>AND(PriceComparison!E27,"AAAAAD/ue1c=")</f>
        <v>#VALUE!</v>
      </c>
      <c r="CK2" t="e">
        <f>AND(PriceComparison!F27,"AAAAAD/ue1g=")</f>
        <v>#VALUE!</v>
      </c>
      <c r="CL2" t="e">
        <f>AND(PriceComparison!G27,"AAAAAD/ue1k=")</f>
        <v>#VALUE!</v>
      </c>
      <c r="CM2" t="e">
        <f>AND(PriceComparison!H27,"AAAAAD/ue1o=")</f>
        <v>#VALUE!</v>
      </c>
      <c r="CN2" t="e">
        <f>AND(PriceComparison!I27,"AAAAAD/ue1s=")</f>
        <v>#VALUE!</v>
      </c>
      <c r="CO2" t="e">
        <f>AND(PriceComparison!J27,"AAAAAD/ue1w=")</f>
        <v>#VALUE!</v>
      </c>
      <c r="CP2" t="e">
        <f>AND(PriceComparison!K27,"AAAAAD/ue10=")</f>
        <v>#VALUE!</v>
      </c>
      <c r="CQ2" t="e">
        <f>AND(PriceComparison!L27,"AAAAAD/ue14=")</f>
        <v>#VALUE!</v>
      </c>
      <c r="CR2">
        <f>IF(PriceComparison!28:28,"AAAAAD/ue18=",0)</f>
        <v>0</v>
      </c>
      <c r="CS2" t="e">
        <f>AND(PriceComparison!A28,"AAAAAD/ue2A=")</f>
        <v>#VALUE!</v>
      </c>
      <c r="CT2" t="e">
        <f>AND(PriceComparison!B28,"AAAAAD/ue2E=")</f>
        <v>#VALUE!</v>
      </c>
      <c r="CU2" t="e">
        <f>AND(PriceComparison!C28,"AAAAAD/ue2I=")</f>
        <v>#VALUE!</v>
      </c>
      <c r="CV2" t="e">
        <f>AND(PriceComparison!D28,"AAAAAD/ue2M=")</f>
        <v>#VALUE!</v>
      </c>
      <c r="CW2" t="e">
        <f>AND(PriceComparison!E28,"AAAAAD/ue2Q=")</f>
        <v>#VALUE!</v>
      </c>
      <c r="CX2" t="e">
        <f>AND(PriceComparison!F28,"AAAAAD/ue2U=")</f>
        <v>#VALUE!</v>
      </c>
      <c r="CY2" t="e">
        <f>AND(PriceComparison!G28,"AAAAAD/ue2Y=")</f>
        <v>#VALUE!</v>
      </c>
      <c r="CZ2" t="e">
        <f>AND(PriceComparison!H28,"AAAAAD/ue2c=")</f>
        <v>#VALUE!</v>
      </c>
      <c r="DA2" t="e">
        <f>AND(PriceComparison!I28,"AAAAAD/ue2g=")</f>
        <v>#VALUE!</v>
      </c>
      <c r="DB2" t="e">
        <f>AND(PriceComparison!J28,"AAAAAD/ue2k=")</f>
        <v>#VALUE!</v>
      </c>
      <c r="DC2" t="e">
        <f>AND(PriceComparison!K28,"AAAAAD/ue2o=")</f>
        <v>#VALUE!</v>
      </c>
      <c r="DD2" t="e">
        <f>AND(PriceComparison!L28,"AAAAAD/ue2s=")</f>
        <v>#VALUE!</v>
      </c>
      <c r="DE2">
        <f>IF(PriceComparison!29:29,"AAAAAD/ue2w=",0)</f>
        <v>0</v>
      </c>
      <c r="DF2" t="e">
        <f>AND(PriceComparison!A29,"AAAAAD/ue20=")</f>
        <v>#VALUE!</v>
      </c>
      <c r="DG2" t="e">
        <f>AND(PriceComparison!B29,"AAAAAD/ue24=")</f>
        <v>#VALUE!</v>
      </c>
      <c r="DH2" t="e">
        <f>AND(PriceComparison!C29,"AAAAAD/ue28=")</f>
        <v>#VALUE!</v>
      </c>
      <c r="DI2" t="e">
        <f>AND(PriceComparison!D29,"AAAAAD/ue3A=")</f>
        <v>#VALUE!</v>
      </c>
      <c r="DJ2" t="e">
        <f>AND(PriceComparison!E29,"AAAAAD/ue3E=")</f>
        <v>#VALUE!</v>
      </c>
      <c r="DK2" t="e">
        <f>AND(PriceComparison!F29,"AAAAAD/ue3I=")</f>
        <v>#VALUE!</v>
      </c>
      <c r="DL2" t="e">
        <f>AND(PriceComparison!G29,"AAAAAD/ue3M=")</f>
        <v>#VALUE!</v>
      </c>
      <c r="DM2" t="e">
        <f>AND(PriceComparison!H29,"AAAAAD/ue3Q=")</f>
        <v>#VALUE!</v>
      </c>
      <c r="DN2" t="e">
        <f>AND(PriceComparison!I29,"AAAAAD/ue3U=")</f>
        <v>#VALUE!</v>
      </c>
      <c r="DO2" t="e">
        <f>AND(PriceComparison!J29,"AAAAAD/ue3Y=")</f>
        <v>#VALUE!</v>
      </c>
      <c r="DP2" t="e">
        <f>AND(PriceComparison!K29,"AAAAAD/ue3c=")</f>
        <v>#VALUE!</v>
      </c>
      <c r="DQ2" t="e">
        <f>AND(PriceComparison!L29,"AAAAAD/ue3g=")</f>
        <v>#VALUE!</v>
      </c>
      <c r="DR2">
        <f>IF(PriceComparison!30:30,"AAAAAD/ue3k=",0)</f>
        <v>0</v>
      </c>
      <c r="DS2" t="e">
        <f>AND(PriceComparison!A30,"AAAAAD/ue3o=")</f>
        <v>#VALUE!</v>
      </c>
      <c r="DT2" t="e">
        <f>AND(PriceComparison!B30,"AAAAAD/ue3s=")</f>
        <v>#VALUE!</v>
      </c>
      <c r="DU2" t="e">
        <f>AND(PriceComparison!C30,"AAAAAD/ue3w=")</f>
        <v>#VALUE!</v>
      </c>
      <c r="DV2" t="e">
        <f>AND(PriceComparison!D30,"AAAAAD/ue30=")</f>
        <v>#VALUE!</v>
      </c>
      <c r="DW2" t="e">
        <f>AND(PriceComparison!E30,"AAAAAD/ue34=")</f>
        <v>#VALUE!</v>
      </c>
      <c r="DX2" t="e">
        <f>AND(PriceComparison!F30,"AAAAAD/ue38=")</f>
        <v>#VALUE!</v>
      </c>
      <c r="DY2" t="e">
        <f>AND(PriceComparison!G30,"AAAAAD/ue4A=")</f>
        <v>#VALUE!</v>
      </c>
      <c r="DZ2" t="e">
        <f>AND(PriceComparison!H30,"AAAAAD/ue4E=")</f>
        <v>#VALUE!</v>
      </c>
      <c r="EA2" t="e">
        <f>AND(PriceComparison!I30,"AAAAAD/ue4I=")</f>
        <v>#VALUE!</v>
      </c>
      <c r="EB2" t="e">
        <f>AND(PriceComparison!J30,"AAAAAD/ue4M=")</f>
        <v>#VALUE!</v>
      </c>
      <c r="EC2" t="e">
        <f>AND(PriceComparison!K30,"AAAAAD/ue4Q=")</f>
        <v>#VALUE!</v>
      </c>
      <c r="ED2" t="e">
        <f>AND(PriceComparison!L30,"AAAAAD/ue4U=")</f>
        <v>#VALUE!</v>
      </c>
      <c r="EE2">
        <f>IF(PriceComparison!31:31,"AAAAAD/ue4Y=",0)</f>
        <v>0</v>
      </c>
      <c r="EF2" t="e">
        <f>AND(PriceComparison!A31,"AAAAAD/ue4c=")</f>
        <v>#VALUE!</v>
      </c>
      <c r="EG2" t="e">
        <f>AND(PriceComparison!B31,"AAAAAD/ue4g=")</f>
        <v>#VALUE!</v>
      </c>
      <c r="EH2" t="e">
        <f>AND(PriceComparison!C31,"AAAAAD/ue4k=")</f>
        <v>#VALUE!</v>
      </c>
      <c r="EI2" t="e">
        <f>AND(PriceComparison!D31,"AAAAAD/ue4o=")</f>
        <v>#VALUE!</v>
      </c>
      <c r="EJ2" t="e">
        <f>AND(PriceComparison!E31,"AAAAAD/ue4s=")</f>
        <v>#VALUE!</v>
      </c>
      <c r="EK2" t="e">
        <f>AND(PriceComparison!F31,"AAAAAD/ue4w=")</f>
        <v>#VALUE!</v>
      </c>
      <c r="EL2" t="e">
        <f>AND(PriceComparison!G31,"AAAAAD/ue40=")</f>
        <v>#VALUE!</v>
      </c>
      <c r="EM2" t="e">
        <f>AND(PriceComparison!H31,"AAAAAD/ue44=")</f>
        <v>#VALUE!</v>
      </c>
      <c r="EN2" t="e">
        <f>AND(PriceComparison!I31,"AAAAAD/ue48=")</f>
        <v>#VALUE!</v>
      </c>
      <c r="EO2" t="e">
        <f>AND(PriceComparison!J31,"AAAAAD/ue5A=")</f>
        <v>#VALUE!</v>
      </c>
      <c r="EP2" t="e">
        <f>AND(PriceComparison!K31,"AAAAAD/ue5E=")</f>
        <v>#VALUE!</v>
      </c>
      <c r="EQ2" t="e">
        <f>AND(PriceComparison!L31,"AAAAAD/ue5I=")</f>
        <v>#VALUE!</v>
      </c>
      <c r="ER2">
        <f>IF(PriceComparison!32:32,"AAAAAD/ue5M=",0)</f>
        <v>0</v>
      </c>
      <c r="ES2" t="e">
        <f>AND(PriceComparison!A32,"AAAAAD/ue5Q=")</f>
        <v>#VALUE!</v>
      </c>
      <c r="ET2" t="e">
        <f>AND(PriceComparison!B32,"AAAAAD/ue5U=")</f>
        <v>#VALUE!</v>
      </c>
      <c r="EU2" t="e">
        <f>AND(PriceComparison!C32,"AAAAAD/ue5Y=")</f>
        <v>#VALUE!</v>
      </c>
      <c r="EV2" t="e">
        <f>AND(PriceComparison!D32,"AAAAAD/ue5c=")</f>
        <v>#VALUE!</v>
      </c>
      <c r="EW2" t="e">
        <f>AND(PriceComparison!E32,"AAAAAD/ue5g=")</f>
        <v>#VALUE!</v>
      </c>
      <c r="EX2" t="e">
        <f>AND(PriceComparison!F32,"AAAAAD/ue5k=")</f>
        <v>#VALUE!</v>
      </c>
      <c r="EY2" t="e">
        <f>AND(PriceComparison!G32,"AAAAAD/ue5o=")</f>
        <v>#VALUE!</v>
      </c>
      <c r="EZ2" t="e">
        <f>AND(PriceComparison!H32,"AAAAAD/ue5s=")</f>
        <v>#VALUE!</v>
      </c>
      <c r="FA2" t="e">
        <f>AND(PriceComparison!I32,"AAAAAD/ue5w=")</f>
        <v>#VALUE!</v>
      </c>
      <c r="FB2" t="e">
        <f>AND(PriceComparison!J32,"AAAAAD/ue50=")</f>
        <v>#VALUE!</v>
      </c>
      <c r="FC2" t="e">
        <f>AND(PriceComparison!K32,"AAAAAD/ue54=")</f>
        <v>#VALUE!</v>
      </c>
      <c r="FD2" t="e">
        <f>AND(PriceComparison!L32,"AAAAAD/ue58=")</f>
        <v>#VALUE!</v>
      </c>
      <c r="FE2">
        <f>IF(PriceComparison!33:33,"AAAAAD/ue6A=",0)</f>
        <v>0</v>
      </c>
      <c r="FF2" t="e">
        <f>AND(PriceComparison!A33,"AAAAAD/ue6E=")</f>
        <v>#VALUE!</v>
      </c>
      <c r="FG2" t="e">
        <f>AND(PriceComparison!B33,"AAAAAD/ue6I=")</f>
        <v>#VALUE!</v>
      </c>
      <c r="FH2" t="e">
        <f>AND(PriceComparison!C33,"AAAAAD/ue6M=")</f>
        <v>#VALUE!</v>
      </c>
      <c r="FI2" t="e">
        <f>AND(PriceComparison!D33,"AAAAAD/ue6Q=")</f>
        <v>#VALUE!</v>
      </c>
      <c r="FJ2" t="e">
        <f>AND(PriceComparison!E33,"AAAAAD/ue6U=")</f>
        <v>#VALUE!</v>
      </c>
      <c r="FK2" t="e">
        <f>AND(PriceComparison!F33,"AAAAAD/ue6Y=")</f>
        <v>#VALUE!</v>
      </c>
      <c r="FL2" t="e">
        <f>AND(PriceComparison!G33,"AAAAAD/ue6c=")</f>
        <v>#VALUE!</v>
      </c>
      <c r="FM2" t="e">
        <f>AND(PriceComparison!H33,"AAAAAD/ue6g=")</f>
        <v>#VALUE!</v>
      </c>
      <c r="FN2" t="e">
        <f>AND(PriceComparison!I33,"AAAAAD/ue6k=")</f>
        <v>#VALUE!</v>
      </c>
      <c r="FO2" t="e">
        <f>AND(PriceComparison!J33,"AAAAAD/ue6o=")</f>
        <v>#VALUE!</v>
      </c>
      <c r="FP2" t="e">
        <f>AND(PriceComparison!K33,"AAAAAD/ue6s=")</f>
        <v>#VALUE!</v>
      </c>
      <c r="FQ2" t="e">
        <f>AND(PriceComparison!L33,"AAAAAD/ue6w=")</f>
        <v>#VALUE!</v>
      </c>
      <c r="FR2">
        <f>IF(PriceComparison!34:34,"AAAAAD/ue60=",0)</f>
        <v>0</v>
      </c>
      <c r="FS2" t="e">
        <f>AND(PriceComparison!A34,"AAAAAD/ue64=")</f>
        <v>#VALUE!</v>
      </c>
      <c r="FT2" t="e">
        <f>AND(PriceComparison!B34,"AAAAAD/ue68=")</f>
        <v>#VALUE!</v>
      </c>
      <c r="FU2" t="e">
        <f>AND(PriceComparison!C34,"AAAAAD/ue7A=")</f>
        <v>#VALUE!</v>
      </c>
      <c r="FV2" t="e">
        <f>AND(PriceComparison!D34,"AAAAAD/ue7E=")</f>
        <v>#VALUE!</v>
      </c>
      <c r="FW2" t="e">
        <f>AND(PriceComparison!E34,"AAAAAD/ue7I=")</f>
        <v>#VALUE!</v>
      </c>
      <c r="FX2" t="e">
        <f>AND(PriceComparison!F34,"AAAAAD/ue7M=")</f>
        <v>#VALUE!</v>
      </c>
      <c r="FY2" t="e">
        <f>AND(PriceComparison!G34,"AAAAAD/ue7Q=")</f>
        <v>#VALUE!</v>
      </c>
      <c r="FZ2" t="e">
        <f>AND(PriceComparison!H34,"AAAAAD/ue7U=")</f>
        <v>#VALUE!</v>
      </c>
      <c r="GA2" t="e">
        <f>AND(PriceComparison!I34,"AAAAAD/ue7Y=")</f>
        <v>#VALUE!</v>
      </c>
      <c r="GB2" t="e">
        <f>AND(PriceComparison!J34,"AAAAAD/ue7c=")</f>
        <v>#VALUE!</v>
      </c>
      <c r="GC2" t="e">
        <f>AND(PriceComparison!K34,"AAAAAD/ue7g=")</f>
        <v>#VALUE!</v>
      </c>
      <c r="GD2" t="e">
        <f>AND(PriceComparison!L34,"AAAAAD/ue7k=")</f>
        <v>#VALUE!</v>
      </c>
      <c r="GE2">
        <f>IF(PriceComparison!35:35,"AAAAAD/ue7o=",0)</f>
        <v>0</v>
      </c>
      <c r="GF2" t="e">
        <f>AND(PriceComparison!A35,"AAAAAD/ue7s=")</f>
        <v>#VALUE!</v>
      </c>
      <c r="GG2" t="e">
        <f>AND(PriceComparison!B35,"AAAAAD/ue7w=")</f>
        <v>#VALUE!</v>
      </c>
      <c r="GH2" t="e">
        <f>AND(PriceComparison!C35,"AAAAAD/ue70=")</f>
        <v>#VALUE!</v>
      </c>
      <c r="GI2" t="e">
        <f>AND(PriceComparison!D35,"AAAAAD/ue74=")</f>
        <v>#VALUE!</v>
      </c>
      <c r="GJ2" t="e">
        <f>AND(PriceComparison!E35,"AAAAAD/ue78=")</f>
        <v>#VALUE!</v>
      </c>
      <c r="GK2" t="e">
        <f>AND(PriceComparison!F35,"AAAAAD/ue8A=")</f>
        <v>#VALUE!</v>
      </c>
      <c r="GL2" t="e">
        <f>AND(PriceComparison!G35,"AAAAAD/ue8E=")</f>
        <v>#VALUE!</v>
      </c>
      <c r="GM2" t="e">
        <f>AND(PriceComparison!H35,"AAAAAD/ue8I=")</f>
        <v>#VALUE!</v>
      </c>
      <c r="GN2" t="e">
        <f>AND(PriceComparison!I35,"AAAAAD/ue8M=")</f>
        <v>#VALUE!</v>
      </c>
      <c r="GO2" t="e">
        <f>AND(PriceComparison!J35,"AAAAAD/ue8Q=")</f>
        <v>#VALUE!</v>
      </c>
      <c r="GP2" t="e">
        <f>AND(PriceComparison!K35,"AAAAAD/ue8U=")</f>
        <v>#VALUE!</v>
      </c>
      <c r="GQ2" t="e">
        <f>AND(PriceComparison!L35,"AAAAAD/ue8Y=")</f>
        <v>#VALUE!</v>
      </c>
      <c r="GR2">
        <f>IF(PriceComparison!36:36,"AAAAAD/ue8c=",0)</f>
        <v>0</v>
      </c>
      <c r="GS2" t="e">
        <f>AND(PriceComparison!A36,"AAAAAD/ue8g=")</f>
        <v>#VALUE!</v>
      </c>
      <c r="GT2" t="e">
        <f>AND(PriceComparison!B36,"AAAAAD/ue8k=")</f>
        <v>#VALUE!</v>
      </c>
      <c r="GU2" t="e">
        <f>AND(PriceComparison!C36,"AAAAAD/ue8o=")</f>
        <v>#VALUE!</v>
      </c>
      <c r="GV2" t="e">
        <f>AND(PriceComparison!D36,"AAAAAD/ue8s=")</f>
        <v>#VALUE!</v>
      </c>
      <c r="GW2" t="e">
        <f>AND(PriceComparison!E36,"AAAAAD/ue8w=")</f>
        <v>#VALUE!</v>
      </c>
      <c r="GX2" t="e">
        <f>AND(PriceComparison!F36,"AAAAAD/ue80=")</f>
        <v>#VALUE!</v>
      </c>
      <c r="GY2" t="e">
        <f>AND(PriceComparison!G36,"AAAAAD/ue84=")</f>
        <v>#VALUE!</v>
      </c>
      <c r="GZ2" t="e">
        <f>AND(PriceComparison!H36,"AAAAAD/ue88=")</f>
        <v>#VALUE!</v>
      </c>
      <c r="HA2" t="e">
        <f>AND(PriceComparison!I36,"AAAAAD/ue9A=")</f>
        <v>#VALUE!</v>
      </c>
      <c r="HB2" t="e">
        <f>AND(PriceComparison!J36,"AAAAAD/ue9E=")</f>
        <v>#VALUE!</v>
      </c>
      <c r="HC2" t="e">
        <f>AND(PriceComparison!K36,"AAAAAD/ue9I=")</f>
        <v>#VALUE!</v>
      </c>
      <c r="HD2" t="e">
        <f>AND(PriceComparison!L36,"AAAAAD/ue9M=")</f>
        <v>#VALUE!</v>
      </c>
      <c r="HE2">
        <f>IF(PriceComparison!37:37,"AAAAAD/ue9Q=",0)</f>
        <v>0</v>
      </c>
      <c r="HF2" t="e">
        <f>AND(PriceComparison!A37,"AAAAAD/ue9U=")</f>
        <v>#VALUE!</v>
      </c>
      <c r="HG2" t="e">
        <f>AND(PriceComparison!B37,"AAAAAD/ue9Y=")</f>
        <v>#VALUE!</v>
      </c>
      <c r="HH2" t="e">
        <f>AND(PriceComparison!C37,"AAAAAD/ue9c=")</f>
        <v>#VALUE!</v>
      </c>
      <c r="HI2" t="e">
        <f>AND(PriceComparison!D37,"AAAAAD/ue9g=")</f>
        <v>#VALUE!</v>
      </c>
      <c r="HJ2" t="e">
        <f>AND(PriceComparison!E37,"AAAAAD/ue9k=")</f>
        <v>#VALUE!</v>
      </c>
      <c r="HK2" t="e">
        <f>AND(PriceComparison!F37,"AAAAAD/ue9o=")</f>
        <v>#VALUE!</v>
      </c>
      <c r="HL2" t="e">
        <f>AND(PriceComparison!G37,"AAAAAD/ue9s=")</f>
        <v>#VALUE!</v>
      </c>
      <c r="HM2" t="e">
        <f>AND(PriceComparison!H37,"AAAAAD/ue9w=")</f>
        <v>#VALUE!</v>
      </c>
      <c r="HN2" t="e">
        <f>AND(PriceComparison!I37,"AAAAAD/ue90=")</f>
        <v>#VALUE!</v>
      </c>
      <c r="HO2" t="e">
        <f>AND(PriceComparison!J37,"AAAAAD/ue94=")</f>
        <v>#VALUE!</v>
      </c>
      <c r="HP2" t="e">
        <f>AND(PriceComparison!K37,"AAAAAD/ue98=")</f>
        <v>#VALUE!</v>
      </c>
      <c r="HQ2" t="e">
        <f>AND(PriceComparison!L37,"AAAAAD/ue+A=")</f>
        <v>#VALUE!</v>
      </c>
      <c r="HR2">
        <f>IF(PriceComparison!38:38,"AAAAAD/ue+E=",0)</f>
        <v>0</v>
      </c>
      <c r="HS2" t="e">
        <f>AND(PriceComparison!A38,"AAAAAD/ue+I=")</f>
        <v>#VALUE!</v>
      </c>
      <c r="HT2" t="e">
        <f>AND(PriceComparison!B38,"AAAAAD/ue+M=")</f>
        <v>#VALUE!</v>
      </c>
      <c r="HU2" t="e">
        <f>AND(PriceComparison!C38,"AAAAAD/ue+Q=")</f>
        <v>#VALUE!</v>
      </c>
      <c r="HV2" t="e">
        <f>AND(PriceComparison!D38,"AAAAAD/ue+U=")</f>
        <v>#VALUE!</v>
      </c>
      <c r="HW2" t="e">
        <f>AND(PriceComparison!E38,"AAAAAD/ue+Y=")</f>
        <v>#VALUE!</v>
      </c>
      <c r="HX2" t="e">
        <f>AND(PriceComparison!F38,"AAAAAD/ue+c=")</f>
        <v>#VALUE!</v>
      </c>
      <c r="HY2" t="e">
        <f>AND(PriceComparison!G38,"AAAAAD/ue+g=")</f>
        <v>#VALUE!</v>
      </c>
      <c r="HZ2" t="e">
        <f>AND(PriceComparison!H38,"AAAAAD/ue+k=")</f>
        <v>#VALUE!</v>
      </c>
      <c r="IA2" t="e">
        <f>AND(PriceComparison!I38,"AAAAAD/ue+o=")</f>
        <v>#VALUE!</v>
      </c>
      <c r="IB2" t="e">
        <f>AND(PriceComparison!J38,"AAAAAD/ue+s=")</f>
        <v>#VALUE!</v>
      </c>
      <c r="IC2" t="e">
        <f>AND(PriceComparison!K38,"AAAAAD/ue+w=")</f>
        <v>#VALUE!</v>
      </c>
      <c r="ID2" t="e">
        <f>AND(PriceComparison!L38,"AAAAAD/ue+0=")</f>
        <v>#VALUE!</v>
      </c>
      <c r="IE2">
        <f>IF(PriceComparison!39:39,"AAAAAD/ue+4=",0)</f>
        <v>0</v>
      </c>
      <c r="IF2" t="e">
        <f>AND(PriceComparison!A39,"AAAAAD/ue+8=")</f>
        <v>#VALUE!</v>
      </c>
      <c r="IG2" t="e">
        <f>AND(PriceComparison!B39,"AAAAAD/ue/A=")</f>
        <v>#VALUE!</v>
      </c>
      <c r="IH2" t="e">
        <f>AND(PriceComparison!C39,"AAAAAD/ue/E=")</f>
        <v>#VALUE!</v>
      </c>
      <c r="II2" t="e">
        <f>AND(PriceComparison!D39,"AAAAAD/ue/I=")</f>
        <v>#VALUE!</v>
      </c>
      <c r="IJ2" t="e">
        <f>AND(PriceComparison!E39,"AAAAAD/ue/M=")</f>
        <v>#VALUE!</v>
      </c>
      <c r="IK2" t="e">
        <f>AND(PriceComparison!F39,"AAAAAD/ue/Q=")</f>
        <v>#VALUE!</v>
      </c>
      <c r="IL2" t="e">
        <f>AND(PriceComparison!G39,"AAAAAD/ue/U=")</f>
        <v>#VALUE!</v>
      </c>
      <c r="IM2" t="e">
        <f>AND(PriceComparison!H39,"AAAAAD/ue/Y=")</f>
        <v>#VALUE!</v>
      </c>
      <c r="IN2" t="e">
        <f>AND(PriceComparison!I39,"AAAAAD/ue/c=")</f>
        <v>#VALUE!</v>
      </c>
      <c r="IO2" t="e">
        <f>AND(PriceComparison!J39,"AAAAAD/ue/g=")</f>
        <v>#VALUE!</v>
      </c>
      <c r="IP2" t="e">
        <f>AND(PriceComparison!K39,"AAAAAD/ue/k=")</f>
        <v>#VALUE!</v>
      </c>
      <c r="IQ2" t="e">
        <f>AND(PriceComparison!L39,"AAAAAD/ue/o=")</f>
        <v>#VALUE!</v>
      </c>
      <c r="IR2">
        <f>IF(PriceComparison!40:40,"AAAAAD/ue/s=",0)</f>
        <v>0</v>
      </c>
      <c r="IS2" t="e">
        <f>AND(PriceComparison!A40,"AAAAAD/ue/w=")</f>
        <v>#VALUE!</v>
      </c>
      <c r="IT2" t="e">
        <f>AND(PriceComparison!B40,"AAAAAD/ue/0=")</f>
        <v>#VALUE!</v>
      </c>
      <c r="IU2" t="e">
        <f>AND(PriceComparison!C40,"AAAAAD/ue/4=")</f>
        <v>#VALUE!</v>
      </c>
      <c r="IV2" t="e">
        <f>AND(PriceComparison!D40,"AAAAAD/ue/8=")</f>
        <v>#VALUE!</v>
      </c>
    </row>
    <row r="3" spans="1:256" x14ac:dyDescent="0.25">
      <c r="A3" t="e">
        <f>AND(PriceComparison!E40,"AAAAAHC79QA=")</f>
        <v>#VALUE!</v>
      </c>
      <c r="B3" t="e">
        <f>AND(PriceComparison!F40,"AAAAAHC79QE=")</f>
        <v>#VALUE!</v>
      </c>
      <c r="C3" t="e">
        <f>AND(PriceComparison!G40,"AAAAAHC79QI=")</f>
        <v>#VALUE!</v>
      </c>
      <c r="D3" t="e">
        <f>AND(PriceComparison!H40,"AAAAAHC79QM=")</f>
        <v>#VALUE!</v>
      </c>
      <c r="E3" t="e">
        <f>AND(PriceComparison!I40,"AAAAAHC79QQ=")</f>
        <v>#VALUE!</v>
      </c>
      <c r="F3" t="e">
        <f>AND(PriceComparison!J40,"AAAAAHC79QU=")</f>
        <v>#VALUE!</v>
      </c>
      <c r="G3" t="e">
        <f>AND(PriceComparison!K40,"AAAAAHC79QY=")</f>
        <v>#VALUE!</v>
      </c>
      <c r="H3" t="e">
        <f>AND(PriceComparison!L40,"AAAAAHC79Qc=")</f>
        <v>#VALUE!</v>
      </c>
      <c r="I3">
        <f>IF(PriceComparison!41:41,"AAAAAHC79Qg=",0)</f>
        <v>0</v>
      </c>
      <c r="J3" t="e">
        <f>AND(PriceComparison!A41,"AAAAAHC79Qk=")</f>
        <v>#VALUE!</v>
      </c>
      <c r="K3" t="e">
        <f>AND(PriceComparison!B41,"AAAAAHC79Qo=")</f>
        <v>#VALUE!</v>
      </c>
      <c r="L3" t="e">
        <f>AND(PriceComparison!C41,"AAAAAHC79Qs=")</f>
        <v>#VALUE!</v>
      </c>
      <c r="M3" t="e">
        <f>AND(PriceComparison!D41,"AAAAAHC79Qw=")</f>
        <v>#VALUE!</v>
      </c>
      <c r="N3" t="e">
        <f>AND(PriceComparison!E41,"AAAAAHC79Q0=")</f>
        <v>#VALUE!</v>
      </c>
      <c r="O3" t="e">
        <f>AND(PriceComparison!F41,"AAAAAHC79Q4=")</f>
        <v>#VALUE!</v>
      </c>
      <c r="P3" t="e">
        <f>AND(PriceComparison!G41,"AAAAAHC79Q8=")</f>
        <v>#VALUE!</v>
      </c>
      <c r="Q3" t="e">
        <f>AND(PriceComparison!H41,"AAAAAHC79RA=")</f>
        <v>#VALUE!</v>
      </c>
      <c r="R3" t="e">
        <f>AND(PriceComparison!I41,"AAAAAHC79RE=")</f>
        <v>#VALUE!</v>
      </c>
      <c r="S3" t="e">
        <f>AND(PriceComparison!J41,"AAAAAHC79RI=")</f>
        <v>#VALUE!</v>
      </c>
      <c r="T3" t="e">
        <f>AND(PriceComparison!K41,"AAAAAHC79RM=")</f>
        <v>#VALUE!</v>
      </c>
      <c r="U3" t="e">
        <f>AND(PriceComparison!L41,"AAAAAHC79RQ=")</f>
        <v>#VALUE!</v>
      </c>
      <c r="V3">
        <f>IF(PriceComparison!42:42,"AAAAAHC79RU=",0)</f>
        <v>0</v>
      </c>
      <c r="W3" t="e">
        <f>AND(PriceComparison!A42,"AAAAAHC79RY=")</f>
        <v>#VALUE!</v>
      </c>
      <c r="X3" t="e">
        <f>AND(PriceComparison!B42,"AAAAAHC79Rc=")</f>
        <v>#VALUE!</v>
      </c>
      <c r="Y3" t="e">
        <f>AND(PriceComparison!C42,"AAAAAHC79Rg=")</f>
        <v>#VALUE!</v>
      </c>
      <c r="Z3" t="e">
        <f>AND(PriceComparison!D42,"AAAAAHC79Rk=")</f>
        <v>#VALUE!</v>
      </c>
      <c r="AA3" t="e">
        <f>AND(PriceComparison!E42,"AAAAAHC79Ro=")</f>
        <v>#VALUE!</v>
      </c>
      <c r="AB3" t="e">
        <f>AND(PriceComparison!F42,"AAAAAHC79Rs=")</f>
        <v>#VALUE!</v>
      </c>
      <c r="AC3" t="e">
        <f>AND(PriceComparison!G42,"AAAAAHC79Rw=")</f>
        <v>#VALUE!</v>
      </c>
      <c r="AD3" t="e">
        <f>AND(PriceComparison!H42,"AAAAAHC79R0=")</f>
        <v>#VALUE!</v>
      </c>
      <c r="AE3" t="e">
        <f>AND(PriceComparison!I42,"AAAAAHC79R4=")</f>
        <v>#VALUE!</v>
      </c>
      <c r="AF3" t="e">
        <f>AND(PriceComparison!J42,"AAAAAHC79R8=")</f>
        <v>#VALUE!</v>
      </c>
      <c r="AG3" t="e">
        <f>AND(PriceComparison!K42,"AAAAAHC79SA=")</f>
        <v>#VALUE!</v>
      </c>
      <c r="AH3" t="e">
        <f>AND(PriceComparison!L42,"AAAAAHC79SE=")</f>
        <v>#VALUE!</v>
      </c>
      <c r="AI3">
        <f>IF(PriceComparison!43:43,"AAAAAHC79SI=",0)</f>
        <v>0</v>
      </c>
      <c r="AJ3" t="e">
        <f>AND(PriceComparison!A43,"AAAAAHC79SM=")</f>
        <v>#VALUE!</v>
      </c>
      <c r="AK3" t="e">
        <f>AND(PriceComparison!B43,"AAAAAHC79SQ=")</f>
        <v>#VALUE!</v>
      </c>
      <c r="AL3" t="e">
        <f>AND(PriceComparison!C43,"AAAAAHC79SU=")</f>
        <v>#VALUE!</v>
      </c>
      <c r="AM3" t="e">
        <f>AND(PriceComparison!D43,"AAAAAHC79SY=")</f>
        <v>#VALUE!</v>
      </c>
      <c r="AN3" t="e">
        <f>AND(PriceComparison!E43,"AAAAAHC79Sc=")</f>
        <v>#VALUE!</v>
      </c>
      <c r="AO3" t="e">
        <f>AND(PriceComparison!F43,"AAAAAHC79Sg=")</f>
        <v>#VALUE!</v>
      </c>
      <c r="AP3" t="e">
        <f>AND(PriceComparison!G43,"AAAAAHC79Sk=")</f>
        <v>#VALUE!</v>
      </c>
      <c r="AQ3" t="e">
        <f>AND(PriceComparison!H43,"AAAAAHC79So=")</f>
        <v>#VALUE!</v>
      </c>
      <c r="AR3" t="e">
        <f>AND(PriceComparison!I43,"AAAAAHC79Ss=")</f>
        <v>#VALUE!</v>
      </c>
      <c r="AS3" t="e">
        <f>AND(PriceComparison!J43,"AAAAAHC79Sw=")</f>
        <v>#VALUE!</v>
      </c>
      <c r="AT3" t="e">
        <f>AND(PriceComparison!K43,"AAAAAHC79S0=")</f>
        <v>#VALUE!</v>
      </c>
      <c r="AU3" t="e">
        <f>AND(PriceComparison!L43,"AAAAAHC79S4=")</f>
        <v>#VALUE!</v>
      </c>
      <c r="AV3">
        <f>IF(PriceComparison!44:44,"AAAAAHC79S8=",0)</f>
        <v>0</v>
      </c>
      <c r="AW3" t="e">
        <f>AND(PriceComparison!A44,"AAAAAHC79TA=")</f>
        <v>#VALUE!</v>
      </c>
      <c r="AX3" t="e">
        <f>AND(PriceComparison!B44,"AAAAAHC79TE=")</f>
        <v>#VALUE!</v>
      </c>
      <c r="AY3" t="e">
        <f>AND(PriceComparison!C44,"AAAAAHC79TI=")</f>
        <v>#VALUE!</v>
      </c>
      <c r="AZ3" t="e">
        <f>AND(PriceComparison!D44,"AAAAAHC79TM=")</f>
        <v>#VALUE!</v>
      </c>
      <c r="BA3" t="e">
        <f>AND(PriceComparison!E44,"AAAAAHC79TQ=")</f>
        <v>#VALUE!</v>
      </c>
      <c r="BB3" t="e">
        <f>AND(PriceComparison!F44,"AAAAAHC79TU=")</f>
        <v>#VALUE!</v>
      </c>
      <c r="BC3" t="e">
        <f>AND(PriceComparison!G44,"AAAAAHC79TY=")</f>
        <v>#VALUE!</v>
      </c>
      <c r="BD3" t="e">
        <f>AND(PriceComparison!H44,"AAAAAHC79Tc=")</f>
        <v>#VALUE!</v>
      </c>
      <c r="BE3" t="e">
        <f>AND(PriceComparison!I44,"AAAAAHC79Tg=")</f>
        <v>#VALUE!</v>
      </c>
      <c r="BF3" t="e">
        <f>AND(PriceComparison!J44,"AAAAAHC79Tk=")</f>
        <v>#VALUE!</v>
      </c>
      <c r="BG3" t="e">
        <f>AND(PriceComparison!K44,"AAAAAHC79To=")</f>
        <v>#VALUE!</v>
      </c>
      <c r="BH3" t="e">
        <f>AND(PriceComparison!L44,"AAAAAHC79Ts=")</f>
        <v>#VALUE!</v>
      </c>
      <c r="BI3">
        <f>IF(PriceComparison!45:45,"AAAAAHC79Tw=",0)</f>
        <v>0</v>
      </c>
      <c r="BJ3" t="e">
        <f>AND(PriceComparison!A45,"AAAAAHC79T0=")</f>
        <v>#VALUE!</v>
      </c>
      <c r="BK3" t="e">
        <f>AND(PriceComparison!B45,"AAAAAHC79T4=")</f>
        <v>#VALUE!</v>
      </c>
      <c r="BL3" t="e">
        <f>AND(PriceComparison!C45,"AAAAAHC79T8=")</f>
        <v>#VALUE!</v>
      </c>
      <c r="BM3" t="e">
        <f>AND(PriceComparison!D45,"AAAAAHC79UA=")</f>
        <v>#VALUE!</v>
      </c>
      <c r="BN3" t="e">
        <f>AND(PriceComparison!E45,"AAAAAHC79UE=")</f>
        <v>#VALUE!</v>
      </c>
      <c r="BO3" t="e">
        <f>AND(PriceComparison!F45,"AAAAAHC79UI=")</f>
        <v>#VALUE!</v>
      </c>
      <c r="BP3" t="e">
        <f>AND(PriceComparison!G45,"AAAAAHC79UM=")</f>
        <v>#VALUE!</v>
      </c>
      <c r="BQ3" t="e">
        <f>AND(PriceComparison!H45,"AAAAAHC79UQ=")</f>
        <v>#VALUE!</v>
      </c>
      <c r="BR3" t="e">
        <f>AND(PriceComparison!I45,"AAAAAHC79UU=")</f>
        <v>#VALUE!</v>
      </c>
      <c r="BS3" t="e">
        <f>AND(PriceComparison!J45,"AAAAAHC79UY=")</f>
        <v>#VALUE!</v>
      </c>
      <c r="BT3" t="e">
        <f>AND(PriceComparison!K45,"AAAAAHC79Uc=")</f>
        <v>#VALUE!</v>
      </c>
      <c r="BU3" t="e">
        <f>AND(PriceComparison!L45,"AAAAAHC79Ug=")</f>
        <v>#VALUE!</v>
      </c>
      <c r="BV3">
        <f>IF(PriceComparison!46:46,"AAAAAHC79Uk=",0)</f>
        <v>0</v>
      </c>
      <c r="BW3" t="e">
        <f>AND(PriceComparison!A46,"AAAAAHC79Uo=")</f>
        <v>#VALUE!</v>
      </c>
      <c r="BX3" t="e">
        <f>AND(PriceComparison!B46,"AAAAAHC79Us=")</f>
        <v>#VALUE!</v>
      </c>
      <c r="BY3" t="e">
        <f>AND(PriceComparison!C46,"AAAAAHC79Uw=")</f>
        <v>#VALUE!</v>
      </c>
      <c r="BZ3" t="e">
        <f>AND(PriceComparison!D46,"AAAAAHC79U0=")</f>
        <v>#VALUE!</v>
      </c>
      <c r="CA3" t="e">
        <f>AND(PriceComparison!E46,"AAAAAHC79U4=")</f>
        <v>#VALUE!</v>
      </c>
      <c r="CB3" t="e">
        <f>AND(PriceComparison!F46,"AAAAAHC79U8=")</f>
        <v>#VALUE!</v>
      </c>
      <c r="CC3" t="e">
        <f>AND(PriceComparison!G46,"AAAAAHC79VA=")</f>
        <v>#VALUE!</v>
      </c>
      <c r="CD3" t="e">
        <f>AND(PriceComparison!H46,"AAAAAHC79VE=")</f>
        <v>#VALUE!</v>
      </c>
      <c r="CE3" t="e">
        <f>AND(PriceComparison!I46,"AAAAAHC79VI=")</f>
        <v>#VALUE!</v>
      </c>
      <c r="CF3" t="e">
        <f>AND(PriceComparison!J46,"AAAAAHC79VM=")</f>
        <v>#VALUE!</v>
      </c>
      <c r="CG3" t="e">
        <f>AND(PriceComparison!K46,"AAAAAHC79VQ=")</f>
        <v>#VALUE!</v>
      </c>
      <c r="CH3" t="e">
        <f>AND(PriceComparison!L46,"AAAAAHC79VU=")</f>
        <v>#VALUE!</v>
      </c>
      <c r="CI3">
        <f>IF(PriceComparison!47:47,"AAAAAHC79VY=",0)</f>
        <v>0</v>
      </c>
      <c r="CJ3" t="e">
        <f>AND(PriceComparison!A47,"AAAAAHC79Vc=")</f>
        <v>#VALUE!</v>
      </c>
      <c r="CK3" t="e">
        <f>AND(PriceComparison!B47,"AAAAAHC79Vg=")</f>
        <v>#VALUE!</v>
      </c>
      <c r="CL3" t="e">
        <f>AND(PriceComparison!C47,"AAAAAHC79Vk=")</f>
        <v>#VALUE!</v>
      </c>
      <c r="CM3" t="e">
        <f>AND(PriceComparison!D47,"AAAAAHC79Vo=")</f>
        <v>#VALUE!</v>
      </c>
      <c r="CN3" t="e">
        <f>AND(PriceComparison!E47,"AAAAAHC79Vs=")</f>
        <v>#VALUE!</v>
      </c>
      <c r="CO3" t="e">
        <f>AND(PriceComparison!F47,"AAAAAHC79Vw=")</f>
        <v>#VALUE!</v>
      </c>
      <c r="CP3" t="e">
        <f>AND(PriceComparison!G47,"AAAAAHC79V0=")</f>
        <v>#VALUE!</v>
      </c>
      <c r="CQ3" t="e">
        <f>AND(PriceComparison!H47,"AAAAAHC79V4=")</f>
        <v>#VALUE!</v>
      </c>
      <c r="CR3" t="e">
        <f>AND(PriceComparison!I47,"AAAAAHC79V8=")</f>
        <v>#VALUE!</v>
      </c>
      <c r="CS3" t="e">
        <f>AND(PriceComparison!J47,"AAAAAHC79WA=")</f>
        <v>#VALUE!</v>
      </c>
      <c r="CT3" t="e">
        <f>AND(PriceComparison!K47,"AAAAAHC79WE=")</f>
        <v>#VALUE!</v>
      </c>
      <c r="CU3" t="e">
        <f>AND(PriceComparison!L47,"AAAAAHC79WI=")</f>
        <v>#VALUE!</v>
      </c>
      <c r="CV3">
        <f>IF(PriceComparison!48:48,"AAAAAHC79WM=",0)</f>
        <v>0</v>
      </c>
      <c r="CW3" t="e">
        <f>AND(PriceComparison!A48,"AAAAAHC79WQ=")</f>
        <v>#VALUE!</v>
      </c>
      <c r="CX3" t="e">
        <f>AND(PriceComparison!B48,"AAAAAHC79WU=")</f>
        <v>#VALUE!</v>
      </c>
      <c r="CY3" t="e">
        <f>AND(PriceComparison!C48,"AAAAAHC79WY=")</f>
        <v>#VALUE!</v>
      </c>
      <c r="CZ3" t="e">
        <f>AND(PriceComparison!D48,"AAAAAHC79Wc=")</f>
        <v>#VALUE!</v>
      </c>
      <c r="DA3" t="e">
        <f>AND(PriceComparison!E48,"AAAAAHC79Wg=")</f>
        <v>#VALUE!</v>
      </c>
      <c r="DB3" t="e">
        <f>AND(PriceComparison!F48,"AAAAAHC79Wk=")</f>
        <v>#VALUE!</v>
      </c>
      <c r="DC3" t="e">
        <f>AND(PriceComparison!G48,"AAAAAHC79Wo=")</f>
        <v>#VALUE!</v>
      </c>
      <c r="DD3" t="e">
        <f>AND(PriceComparison!H48,"AAAAAHC79Ws=")</f>
        <v>#VALUE!</v>
      </c>
      <c r="DE3" t="e">
        <f>AND(PriceComparison!I48,"AAAAAHC79Ww=")</f>
        <v>#VALUE!</v>
      </c>
      <c r="DF3" t="e">
        <f>AND(PriceComparison!J48,"AAAAAHC79W0=")</f>
        <v>#VALUE!</v>
      </c>
      <c r="DG3" t="e">
        <f>AND(PriceComparison!K48,"AAAAAHC79W4=")</f>
        <v>#VALUE!</v>
      </c>
      <c r="DH3" t="e">
        <f>AND(PriceComparison!L48,"AAAAAHC79W8=")</f>
        <v>#VALUE!</v>
      </c>
      <c r="DI3">
        <f>IF(PriceComparison!49:49,"AAAAAHC79XA=",0)</f>
        <v>0</v>
      </c>
      <c r="DJ3" t="e">
        <f>AND(PriceComparison!A49,"AAAAAHC79XE=")</f>
        <v>#VALUE!</v>
      </c>
      <c r="DK3" t="e">
        <f>AND(PriceComparison!B49,"AAAAAHC79XI=")</f>
        <v>#VALUE!</v>
      </c>
      <c r="DL3" t="e">
        <f>AND(PriceComparison!C49,"AAAAAHC79XM=")</f>
        <v>#VALUE!</v>
      </c>
      <c r="DM3" t="e">
        <f>AND(PriceComparison!D49,"AAAAAHC79XQ=")</f>
        <v>#VALUE!</v>
      </c>
      <c r="DN3" t="e">
        <f>AND(PriceComparison!E49,"AAAAAHC79XU=")</f>
        <v>#VALUE!</v>
      </c>
      <c r="DO3" t="e">
        <f>AND(PriceComparison!F49,"AAAAAHC79XY=")</f>
        <v>#VALUE!</v>
      </c>
      <c r="DP3" t="e">
        <f>AND(PriceComparison!G49,"AAAAAHC79Xc=")</f>
        <v>#VALUE!</v>
      </c>
      <c r="DQ3" t="e">
        <f>AND(PriceComparison!H49,"AAAAAHC79Xg=")</f>
        <v>#VALUE!</v>
      </c>
      <c r="DR3" t="e">
        <f>AND(PriceComparison!I49,"AAAAAHC79Xk=")</f>
        <v>#VALUE!</v>
      </c>
      <c r="DS3" t="e">
        <f>AND(PriceComparison!J49,"AAAAAHC79Xo=")</f>
        <v>#VALUE!</v>
      </c>
      <c r="DT3" t="e">
        <f>AND(PriceComparison!K49,"AAAAAHC79Xs=")</f>
        <v>#VALUE!</v>
      </c>
      <c r="DU3" t="e">
        <f>AND(PriceComparison!L49,"AAAAAHC79Xw=")</f>
        <v>#VALUE!</v>
      </c>
      <c r="DV3">
        <f>IF(PriceComparison!50:50,"AAAAAHC79X0=",0)</f>
        <v>0</v>
      </c>
      <c r="DW3" t="e">
        <f>AND(PriceComparison!A50,"AAAAAHC79X4=")</f>
        <v>#VALUE!</v>
      </c>
      <c r="DX3" t="e">
        <f>AND(PriceComparison!B50,"AAAAAHC79X8=")</f>
        <v>#VALUE!</v>
      </c>
      <c r="DY3" t="e">
        <f>AND(PriceComparison!C50,"AAAAAHC79YA=")</f>
        <v>#VALUE!</v>
      </c>
      <c r="DZ3" t="e">
        <f>AND(PriceComparison!D50,"AAAAAHC79YE=")</f>
        <v>#VALUE!</v>
      </c>
      <c r="EA3" t="e">
        <f>AND(PriceComparison!E50,"AAAAAHC79YI=")</f>
        <v>#VALUE!</v>
      </c>
      <c r="EB3" t="e">
        <f>AND(PriceComparison!F50,"AAAAAHC79YM=")</f>
        <v>#VALUE!</v>
      </c>
      <c r="EC3" t="e">
        <f>AND(PriceComparison!G50,"AAAAAHC79YQ=")</f>
        <v>#VALUE!</v>
      </c>
      <c r="ED3" t="e">
        <f>AND(PriceComparison!H50,"AAAAAHC79YU=")</f>
        <v>#VALUE!</v>
      </c>
      <c r="EE3" t="e">
        <f>AND(PriceComparison!I50,"AAAAAHC79YY=")</f>
        <v>#VALUE!</v>
      </c>
      <c r="EF3" t="e">
        <f>AND(PriceComparison!J50,"AAAAAHC79Yc=")</f>
        <v>#VALUE!</v>
      </c>
      <c r="EG3" t="e">
        <f>AND(PriceComparison!K50,"AAAAAHC79Yg=")</f>
        <v>#VALUE!</v>
      </c>
      <c r="EH3" t="e">
        <f>AND(PriceComparison!L50,"AAAAAHC79Yk=")</f>
        <v>#VALUE!</v>
      </c>
      <c r="EI3">
        <f>IF(PriceComparison!51:51,"AAAAAHC79Yo=",0)</f>
        <v>0</v>
      </c>
      <c r="EJ3" t="e">
        <f>AND(PriceComparison!A51,"AAAAAHC79Ys=")</f>
        <v>#VALUE!</v>
      </c>
      <c r="EK3" t="e">
        <f>AND(PriceComparison!B51,"AAAAAHC79Yw=")</f>
        <v>#VALUE!</v>
      </c>
      <c r="EL3" t="e">
        <f>AND(PriceComparison!C51,"AAAAAHC79Y0=")</f>
        <v>#VALUE!</v>
      </c>
      <c r="EM3" t="e">
        <f>AND(PriceComparison!D51,"AAAAAHC79Y4=")</f>
        <v>#VALUE!</v>
      </c>
      <c r="EN3" t="e">
        <f>AND(PriceComparison!E51,"AAAAAHC79Y8=")</f>
        <v>#VALUE!</v>
      </c>
      <c r="EO3" t="e">
        <f>AND(PriceComparison!F51,"AAAAAHC79ZA=")</f>
        <v>#VALUE!</v>
      </c>
      <c r="EP3" t="e">
        <f>AND(PriceComparison!G51,"AAAAAHC79ZE=")</f>
        <v>#VALUE!</v>
      </c>
      <c r="EQ3" t="e">
        <f>AND(PriceComparison!H51,"AAAAAHC79ZI=")</f>
        <v>#VALUE!</v>
      </c>
      <c r="ER3" t="e">
        <f>AND(PriceComparison!I51,"AAAAAHC79ZM=")</f>
        <v>#VALUE!</v>
      </c>
      <c r="ES3" t="e">
        <f>AND(PriceComparison!J51,"AAAAAHC79ZQ=")</f>
        <v>#VALUE!</v>
      </c>
      <c r="ET3" t="e">
        <f>AND(PriceComparison!K51,"AAAAAHC79ZU=")</f>
        <v>#VALUE!</v>
      </c>
      <c r="EU3" t="e">
        <f>AND(PriceComparison!L51,"AAAAAHC79ZY=")</f>
        <v>#VALUE!</v>
      </c>
      <c r="EV3">
        <f>IF(PriceComparison!52:52,"AAAAAHC79Zc=",0)</f>
        <v>0</v>
      </c>
      <c r="EW3" t="e">
        <f>AND(PriceComparison!A52,"AAAAAHC79Zg=")</f>
        <v>#VALUE!</v>
      </c>
      <c r="EX3" t="e">
        <f>AND(PriceComparison!B52,"AAAAAHC79Zk=")</f>
        <v>#VALUE!</v>
      </c>
      <c r="EY3" t="e">
        <f>AND(PriceComparison!C52,"AAAAAHC79Zo=")</f>
        <v>#VALUE!</v>
      </c>
      <c r="EZ3" t="e">
        <f>AND(PriceComparison!D52,"AAAAAHC79Zs=")</f>
        <v>#VALUE!</v>
      </c>
      <c r="FA3" t="e">
        <f>AND(PriceComparison!E52,"AAAAAHC79Zw=")</f>
        <v>#VALUE!</v>
      </c>
      <c r="FB3" t="e">
        <f>AND(PriceComparison!F52,"AAAAAHC79Z0=")</f>
        <v>#VALUE!</v>
      </c>
      <c r="FC3" t="e">
        <f>AND(PriceComparison!G52,"AAAAAHC79Z4=")</f>
        <v>#VALUE!</v>
      </c>
      <c r="FD3" t="e">
        <f>AND(PriceComparison!H52,"AAAAAHC79Z8=")</f>
        <v>#VALUE!</v>
      </c>
      <c r="FE3" t="e">
        <f>AND(PriceComparison!I52,"AAAAAHC79aA=")</f>
        <v>#VALUE!</v>
      </c>
      <c r="FF3" t="e">
        <f>AND(PriceComparison!J52,"AAAAAHC79aE=")</f>
        <v>#VALUE!</v>
      </c>
      <c r="FG3" t="e">
        <f>AND(PriceComparison!K52,"AAAAAHC79aI=")</f>
        <v>#VALUE!</v>
      </c>
      <c r="FH3" t="e">
        <f>AND(PriceComparison!L52,"AAAAAHC79aM=")</f>
        <v>#VALUE!</v>
      </c>
      <c r="FI3">
        <f>IF(PriceComparison!53:53,"AAAAAHC79aQ=",0)</f>
        <v>0</v>
      </c>
      <c r="FJ3" t="e">
        <f>AND(PriceComparison!A53,"AAAAAHC79aU=")</f>
        <v>#VALUE!</v>
      </c>
      <c r="FK3" t="e">
        <f>AND(PriceComparison!B53,"AAAAAHC79aY=")</f>
        <v>#VALUE!</v>
      </c>
      <c r="FL3" t="e">
        <f>AND(PriceComparison!C53,"AAAAAHC79ac=")</f>
        <v>#VALUE!</v>
      </c>
      <c r="FM3" t="e">
        <f>AND(PriceComparison!D53,"AAAAAHC79ag=")</f>
        <v>#VALUE!</v>
      </c>
      <c r="FN3" t="e">
        <f>AND(PriceComparison!E53,"AAAAAHC79ak=")</f>
        <v>#VALUE!</v>
      </c>
      <c r="FO3" t="e">
        <f>AND(PriceComparison!F53,"AAAAAHC79ao=")</f>
        <v>#VALUE!</v>
      </c>
      <c r="FP3" t="e">
        <f>AND(PriceComparison!G53,"AAAAAHC79as=")</f>
        <v>#VALUE!</v>
      </c>
      <c r="FQ3" t="e">
        <f>AND(PriceComparison!H53,"AAAAAHC79aw=")</f>
        <v>#VALUE!</v>
      </c>
      <c r="FR3" t="e">
        <f>AND(PriceComparison!I53,"AAAAAHC79a0=")</f>
        <v>#VALUE!</v>
      </c>
      <c r="FS3" t="e">
        <f>AND(PriceComparison!J53,"AAAAAHC79a4=")</f>
        <v>#VALUE!</v>
      </c>
      <c r="FT3" t="e">
        <f>AND(PriceComparison!K53,"AAAAAHC79a8=")</f>
        <v>#VALUE!</v>
      </c>
      <c r="FU3" t="e">
        <f>AND(PriceComparison!L53,"AAAAAHC79bA=")</f>
        <v>#VALUE!</v>
      </c>
      <c r="FV3">
        <f>IF(PriceComparison!54:54,"AAAAAHC79bE=",0)</f>
        <v>0</v>
      </c>
      <c r="FW3" t="e">
        <f>AND(PriceComparison!A54,"AAAAAHC79bI=")</f>
        <v>#VALUE!</v>
      </c>
      <c r="FX3" t="e">
        <f>AND(PriceComparison!B54,"AAAAAHC79bM=")</f>
        <v>#VALUE!</v>
      </c>
      <c r="FY3" t="e">
        <f>AND(PriceComparison!C54,"AAAAAHC79bQ=")</f>
        <v>#VALUE!</v>
      </c>
      <c r="FZ3" t="e">
        <f>AND(PriceComparison!D54,"AAAAAHC79bU=")</f>
        <v>#VALUE!</v>
      </c>
      <c r="GA3" t="e">
        <f>AND(PriceComparison!E54,"AAAAAHC79bY=")</f>
        <v>#VALUE!</v>
      </c>
      <c r="GB3" t="e">
        <f>AND(PriceComparison!F54,"AAAAAHC79bc=")</f>
        <v>#VALUE!</v>
      </c>
      <c r="GC3" t="e">
        <f>AND(PriceComparison!G54,"AAAAAHC79bg=")</f>
        <v>#VALUE!</v>
      </c>
      <c r="GD3" t="e">
        <f>AND(PriceComparison!H54,"AAAAAHC79bk=")</f>
        <v>#VALUE!</v>
      </c>
      <c r="GE3" t="e">
        <f>AND(PriceComparison!I54,"AAAAAHC79bo=")</f>
        <v>#VALUE!</v>
      </c>
      <c r="GF3" t="e">
        <f>AND(PriceComparison!J54,"AAAAAHC79bs=")</f>
        <v>#VALUE!</v>
      </c>
      <c r="GG3" t="e">
        <f>AND(PriceComparison!K54,"AAAAAHC79bw=")</f>
        <v>#VALUE!</v>
      </c>
      <c r="GH3" t="e">
        <f>AND(PriceComparison!L54,"AAAAAHC79b0=")</f>
        <v>#VALUE!</v>
      </c>
      <c r="GI3">
        <f>IF(PriceComparison!55:55,"AAAAAHC79b4=",0)</f>
        <v>0</v>
      </c>
      <c r="GJ3" t="e">
        <f>AND(PriceComparison!A55,"AAAAAHC79b8=")</f>
        <v>#VALUE!</v>
      </c>
      <c r="GK3" t="e">
        <f>AND(PriceComparison!B55,"AAAAAHC79cA=")</f>
        <v>#VALUE!</v>
      </c>
      <c r="GL3" t="e">
        <f>AND(PriceComparison!C55,"AAAAAHC79cE=")</f>
        <v>#VALUE!</v>
      </c>
      <c r="GM3" t="e">
        <f>AND(PriceComparison!D55,"AAAAAHC79cI=")</f>
        <v>#VALUE!</v>
      </c>
      <c r="GN3" t="e">
        <f>AND(PriceComparison!E55,"AAAAAHC79cM=")</f>
        <v>#VALUE!</v>
      </c>
      <c r="GO3" t="e">
        <f>AND(PriceComparison!F55,"AAAAAHC79cQ=")</f>
        <v>#VALUE!</v>
      </c>
      <c r="GP3" t="e">
        <f>AND(PriceComparison!G55,"AAAAAHC79cU=")</f>
        <v>#VALUE!</v>
      </c>
      <c r="GQ3" t="e">
        <f>AND(PriceComparison!H55,"AAAAAHC79cY=")</f>
        <v>#VALUE!</v>
      </c>
      <c r="GR3" t="e">
        <f>AND(PriceComparison!I55,"AAAAAHC79cc=")</f>
        <v>#VALUE!</v>
      </c>
      <c r="GS3" t="e">
        <f>AND(PriceComparison!J55,"AAAAAHC79cg=")</f>
        <v>#VALUE!</v>
      </c>
      <c r="GT3" t="e">
        <f>AND(PriceComparison!K55,"AAAAAHC79ck=")</f>
        <v>#VALUE!</v>
      </c>
      <c r="GU3" t="e">
        <f>AND(PriceComparison!L55,"AAAAAHC79co=")</f>
        <v>#VALUE!</v>
      </c>
      <c r="GV3">
        <f>IF(PriceComparison!56:56,"AAAAAHC79cs=",0)</f>
        <v>0</v>
      </c>
      <c r="GW3" t="e">
        <f>AND(PriceComparison!A56,"AAAAAHC79cw=")</f>
        <v>#VALUE!</v>
      </c>
      <c r="GX3" t="e">
        <f>AND(PriceComparison!B56,"AAAAAHC79c0=")</f>
        <v>#VALUE!</v>
      </c>
      <c r="GY3" t="e">
        <f>AND(PriceComparison!C56,"AAAAAHC79c4=")</f>
        <v>#VALUE!</v>
      </c>
      <c r="GZ3" t="e">
        <f>AND(PriceComparison!D56,"AAAAAHC79c8=")</f>
        <v>#VALUE!</v>
      </c>
      <c r="HA3" t="e">
        <f>AND(PriceComparison!E56,"AAAAAHC79dA=")</f>
        <v>#VALUE!</v>
      </c>
      <c r="HB3" t="e">
        <f>AND(PriceComparison!F56,"AAAAAHC79dE=")</f>
        <v>#VALUE!</v>
      </c>
      <c r="HC3" t="e">
        <f>AND(PriceComparison!G56,"AAAAAHC79dI=")</f>
        <v>#VALUE!</v>
      </c>
      <c r="HD3" t="e">
        <f>AND(PriceComparison!H56,"AAAAAHC79dM=")</f>
        <v>#VALUE!</v>
      </c>
      <c r="HE3" t="e">
        <f>AND(PriceComparison!I56,"AAAAAHC79dQ=")</f>
        <v>#VALUE!</v>
      </c>
      <c r="HF3" t="e">
        <f>AND(PriceComparison!J56,"AAAAAHC79dU=")</f>
        <v>#VALUE!</v>
      </c>
      <c r="HG3" t="e">
        <f>AND(PriceComparison!K56,"AAAAAHC79dY=")</f>
        <v>#VALUE!</v>
      </c>
      <c r="HH3" t="e">
        <f>AND(PriceComparison!L56,"AAAAAHC79dc=")</f>
        <v>#VALUE!</v>
      </c>
      <c r="HI3">
        <f>IF(PriceComparison!57:57,"AAAAAHC79dg=",0)</f>
        <v>0</v>
      </c>
      <c r="HJ3" t="e">
        <f>AND(PriceComparison!A57,"AAAAAHC79dk=")</f>
        <v>#VALUE!</v>
      </c>
      <c r="HK3" t="e">
        <f>AND(PriceComparison!B57,"AAAAAHC79do=")</f>
        <v>#VALUE!</v>
      </c>
      <c r="HL3" t="e">
        <f>AND(PriceComparison!C57,"AAAAAHC79ds=")</f>
        <v>#VALUE!</v>
      </c>
      <c r="HM3" t="e">
        <f>AND(PriceComparison!D57,"AAAAAHC79dw=")</f>
        <v>#VALUE!</v>
      </c>
      <c r="HN3" t="e">
        <f>AND(PriceComparison!E57,"AAAAAHC79d0=")</f>
        <v>#VALUE!</v>
      </c>
      <c r="HO3" t="e">
        <f>AND(PriceComparison!F57,"AAAAAHC79d4=")</f>
        <v>#VALUE!</v>
      </c>
      <c r="HP3" t="e">
        <f>AND(PriceComparison!G57,"AAAAAHC79d8=")</f>
        <v>#VALUE!</v>
      </c>
      <c r="HQ3" t="e">
        <f>AND(PriceComparison!H57,"AAAAAHC79eA=")</f>
        <v>#VALUE!</v>
      </c>
      <c r="HR3" t="e">
        <f>AND(PriceComparison!I57,"AAAAAHC79eE=")</f>
        <v>#VALUE!</v>
      </c>
      <c r="HS3" t="e">
        <f>AND(PriceComparison!J57,"AAAAAHC79eI=")</f>
        <v>#VALUE!</v>
      </c>
      <c r="HT3" t="e">
        <f>AND(PriceComparison!K57,"AAAAAHC79eM=")</f>
        <v>#VALUE!</v>
      </c>
      <c r="HU3" t="e">
        <f>AND(PriceComparison!L57,"AAAAAHC79eQ=")</f>
        <v>#VALUE!</v>
      </c>
      <c r="HV3">
        <f>IF(PriceComparison!58:58,"AAAAAHC79eU=",0)</f>
        <v>0</v>
      </c>
      <c r="HW3" t="e">
        <f>AND(PriceComparison!A58,"AAAAAHC79eY=")</f>
        <v>#VALUE!</v>
      </c>
      <c r="HX3" t="e">
        <f>AND(PriceComparison!B58,"AAAAAHC79ec=")</f>
        <v>#VALUE!</v>
      </c>
      <c r="HY3" t="e">
        <f>AND(PriceComparison!C58,"AAAAAHC79eg=")</f>
        <v>#VALUE!</v>
      </c>
      <c r="HZ3" t="e">
        <f>AND(PriceComparison!D58,"AAAAAHC79ek=")</f>
        <v>#VALUE!</v>
      </c>
      <c r="IA3" t="e">
        <f>AND(PriceComparison!E58,"AAAAAHC79eo=")</f>
        <v>#VALUE!</v>
      </c>
      <c r="IB3" t="e">
        <f>AND(PriceComparison!F58,"AAAAAHC79es=")</f>
        <v>#VALUE!</v>
      </c>
      <c r="IC3" t="e">
        <f>AND(PriceComparison!G58,"AAAAAHC79ew=")</f>
        <v>#VALUE!</v>
      </c>
      <c r="ID3" t="e">
        <f>AND(PriceComparison!H58,"AAAAAHC79e0=")</f>
        <v>#VALUE!</v>
      </c>
      <c r="IE3" t="e">
        <f>AND(PriceComparison!I58,"AAAAAHC79e4=")</f>
        <v>#VALUE!</v>
      </c>
      <c r="IF3" t="e">
        <f>AND(PriceComparison!J58,"AAAAAHC79e8=")</f>
        <v>#VALUE!</v>
      </c>
      <c r="IG3" t="e">
        <f>AND(PriceComparison!K58,"AAAAAHC79fA=")</f>
        <v>#VALUE!</v>
      </c>
      <c r="IH3" t="e">
        <f>AND(PriceComparison!L58,"AAAAAHC79fE=")</f>
        <v>#VALUE!</v>
      </c>
      <c r="II3">
        <f>IF(PriceComparison!59:59,"AAAAAHC79fI=",0)</f>
        <v>0</v>
      </c>
      <c r="IJ3" t="e">
        <f>AND(PriceComparison!A59,"AAAAAHC79fM=")</f>
        <v>#VALUE!</v>
      </c>
      <c r="IK3" t="e">
        <f>AND(PriceComparison!B59,"AAAAAHC79fQ=")</f>
        <v>#VALUE!</v>
      </c>
      <c r="IL3" t="e">
        <f>AND(PriceComparison!C59,"AAAAAHC79fU=")</f>
        <v>#VALUE!</v>
      </c>
      <c r="IM3" t="e">
        <f>AND(PriceComparison!D59,"AAAAAHC79fY=")</f>
        <v>#VALUE!</v>
      </c>
      <c r="IN3" t="e">
        <f>AND(PriceComparison!E59,"AAAAAHC79fc=")</f>
        <v>#VALUE!</v>
      </c>
      <c r="IO3" t="e">
        <f>AND(PriceComparison!F59,"AAAAAHC79fg=")</f>
        <v>#VALUE!</v>
      </c>
      <c r="IP3" t="e">
        <f>AND(PriceComparison!G59,"AAAAAHC79fk=")</f>
        <v>#VALUE!</v>
      </c>
      <c r="IQ3" t="e">
        <f>AND(PriceComparison!H59,"AAAAAHC79fo=")</f>
        <v>#VALUE!</v>
      </c>
      <c r="IR3" t="e">
        <f>AND(PriceComparison!I59,"AAAAAHC79fs=")</f>
        <v>#VALUE!</v>
      </c>
      <c r="IS3" t="e">
        <f>AND(PriceComparison!J59,"AAAAAHC79fw=")</f>
        <v>#VALUE!</v>
      </c>
      <c r="IT3" t="e">
        <f>AND(PriceComparison!K59,"AAAAAHC79f0=")</f>
        <v>#VALUE!</v>
      </c>
      <c r="IU3" t="e">
        <f>AND(PriceComparison!L59,"AAAAAHC79f4=")</f>
        <v>#VALUE!</v>
      </c>
      <c r="IV3">
        <f>IF(PriceComparison!60:60,"AAAAAHC79f8=",0)</f>
        <v>0</v>
      </c>
    </row>
    <row r="4" spans="1:256" x14ac:dyDescent="0.25">
      <c r="A4" t="e">
        <f>AND(PriceComparison!A60,"AAAAAHf78wA=")</f>
        <v>#VALUE!</v>
      </c>
      <c r="B4" t="e">
        <f>AND(PriceComparison!B60,"AAAAAHf78wE=")</f>
        <v>#VALUE!</v>
      </c>
      <c r="C4" t="e">
        <f>AND(PriceComparison!C60,"AAAAAHf78wI=")</f>
        <v>#VALUE!</v>
      </c>
      <c r="D4" t="e">
        <f>AND(PriceComparison!D60,"AAAAAHf78wM=")</f>
        <v>#VALUE!</v>
      </c>
      <c r="E4" t="e">
        <f>AND(PriceComparison!E60,"AAAAAHf78wQ=")</f>
        <v>#VALUE!</v>
      </c>
      <c r="F4" t="e">
        <f>AND(PriceComparison!F60,"AAAAAHf78wU=")</f>
        <v>#VALUE!</v>
      </c>
      <c r="G4" t="e">
        <f>AND(PriceComparison!G60,"AAAAAHf78wY=")</f>
        <v>#VALUE!</v>
      </c>
      <c r="H4" t="e">
        <f>AND(PriceComparison!H60,"AAAAAHf78wc=")</f>
        <v>#VALUE!</v>
      </c>
      <c r="I4" t="e">
        <f>AND(PriceComparison!I60,"AAAAAHf78wg=")</f>
        <v>#VALUE!</v>
      </c>
      <c r="J4" t="e">
        <f>AND(PriceComparison!J60,"AAAAAHf78wk=")</f>
        <v>#VALUE!</v>
      </c>
      <c r="K4" t="e">
        <f>AND(PriceComparison!K60,"AAAAAHf78wo=")</f>
        <v>#VALUE!</v>
      </c>
      <c r="L4" t="e">
        <f>AND(PriceComparison!L60,"AAAAAHf78ws=")</f>
        <v>#VALUE!</v>
      </c>
      <c r="M4">
        <f>IF(PriceComparison!61:61,"AAAAAHf78ww=",0)</f>
        <v>0</v>
      </c>
      <c r="N4" t="e">
        <f>AND(PriceComparison!A61,"AAAAAHf78w0=")</f>
        <v>#VALUE!</v>
      </c>
      <c r="O4" t="e">
        <f>AND(PriceComparison!B61,"AAAAAHf78w4=")</f>
        <v>#VALUE!</v>
      </c>
      <c r="P4" t="e">
        <f>AND(PriceComparison!C61,"AAAAAHf78w8=")</f>
        <v>#VALUE!</v>
      </c>
      <c r="Q4" t="e">
        <f>AND(PriceComparison!D61,"AAAAAHf78xA=")</f>
        <v>#VALUE!</v>
      </c>
      <c r="R4" t="e">
        <f>AND(PriceComparison!E61,"AAAAAHf78xE=")</f>
        <v>#VALUE!</v>
      </c>
      <c r="S4" t="e">
        <f>AND(PriceComparison!F61,"AAAAAHf78xI=")</f>
        <v>#VALUE!</v>
      </c>
      <c r="T4" t="e">
        <f>AND(PriceComparison!G61,"AAAAAHf78xM=")</f>
        <v>#VALUE!</v>
      </c>
      <c r="U4" t="e">
        <f>AND(PriceComparison!H61,"AAAAAHf78xQ=")</f>
        <v>#VALUE!</v>
      </c>
      <c r="V4" t="e">
        <f>AND(PriceComparison!I61,"AAAAAHf78xU=")</f>
        <v>#VALUE!</v>
      </c>
      <c r="W4" t="e">
        <f>AND(PriceComparison!J61,"AAAAAHf78xY=")</f>
        <v>#VALUE!</v>
      </c>
      <c r="X4" t="e">
        <f>AND(PriceComparison!K61,"AAAAAHf78xc=")</f>
        <v>#VALUE!</v>
      </c>
      <c r="Y4" t="e">
        <f>AND(PriceComparison!L61,"AAAAAHf78xg=")</f>
        <v>#VALUE!</v>
      </c>
      <c r="Z4">
        <f>IF(PriceComparison!62:62,"AAAAAHf78xk=",0)</f>
        <v>0</v>
      </c>
      <c r="AA4" t="e">
        <f>AND(PriceComparison!A62,"AAAAAHf78xo=")</f>
        <v>#VALUE!</v>
      </c>
      <c r="AB4" t="e">
        <f>AND(PriceComparison!B62,"AAAAAHf78xs=")</f>
        <v>#VALUE!</v>
      </c>
      <c r="AC4" t="e">
        <f>AND(PriceComparison!C62,"AAAAAHf78xw=")</f>
        <v>#VALUE!</v>
      </c>
      <c r="AD4" t="e">
        <f>AND(PriceComparison!D62,"AAAAAHf78x0=")</f>
        <v>#VALUE!</v>
      </c>
      <c r="AE4" t="e">
        <f>AND(PriceComparison!E62,"AAAAAHf78x4=")</f>
        <v>#VALUE!</v>
      </c>
      <c r="AF4" t="e">
        <f>AND(PriceComparison!F62,"AAAAAHf78x8=")</f>
        <v>#VALUE!</v>
      </c>
      <c r="AG4" t="e">
        <f>AND(PriceComparison!G62,"AAAAAHf78yA=")</f>
        <v>#VALUE!</v>
      </c>
      <c r="AH4" t="e">
        <f>AND(PriceComparison!H62,"AAAAAHf78yE=")</f>
        <v>#VALUE!</v>
      </c>
      <c r="AI4" t="e">
        <f>AND(PriceComparison!I62,"AAAAAHf78yI=")</f>
        <v>#VALUE!</v>
      </c>
      <c r="AJ4" t="e">
        <f>AND(PriceComparison!J62,"AAAAAHf78yM=")</f>
        <v>#VALUE!</v>
      </c>
      <c r="AK4" t="e">
        <f>AND(PriceComparison!K62,"AAAAAHf78yQ=")</f>
        <v>#VALUE!</v>
      </c>
      <c r="AL4" t="e">
        <f>AND(PriceComparison!L62,"AAAAAHf78yU=")</f>
        <v>#VALUE!</v>
      </c>
      <c r="AM4">
        <f>IF(PriceComparison!63:63,"AAAAAHf78yY=",0)</f>
        <v>0</v>
      </c>
      <c r="AN4" t="e">
        <f>AND(PriceComparison!A63,"AAAAAHf78yc=")</f>
        <v>#VALUE!</v>
      </c>
      <c r="AO4" t="e">
        <f>AND(PriceComparison!B63,"AAAAAHf78yg=")</f>
        <v>#VALUE!</v>
      </c>
      <c r="AP4" t="e">
        <f>AND(PriceComparison!C63,"AAAAAHf78yk=")</f>
        <v>#VALUE!</v>
      </c>
      <c r="AQ4" t="e">
        <f>AND(PriceComparison!D63,"AAAAAHf78yo=")</f>
        <v>#VALUE!</v>
      </c>
      <c r="AR4" t="e">
        <f>AND(PriceComparison!E63,"AAAAAHf78ys=")</f>
        <v>#VALUE!</v>
      </c>
      <c r="AS4" t="e">
        <f>AND(PriceComparison!F63,"AAAAAHf78yw=")</f>
        <v>#VALUE!</v>
      </c>
      <c r="AT4" t="e">
        <f>AND(PriceComparison!G63,"AAAAAHf78y0=")</f>
        <v>#VALUE!</v>
      </c>
      <c r="AU4" t="e">
        <f>AND(PriceComparison!H63,"AAAAAHf78y4=")</f>
        <v>#VALUE!</v>
      </c>
      <c r="AV4" t="e">
        <f>AND(PriceComparison!I63,"AAAAAHf78y8=")</f>
        <v>#VALUE!</v>
      </c>
      <c r="AW4" t="e">
        <f>AND(PriceComparison!J63,"AAAAAHf78zA=")</f>
        <v>#VALUE!</v>
      </c>
      <c r="AX4" t="e">
        <f>AND(PriceComparison!K63,"AAAAAHf78zE=")</f>
        <v>#VALUE!</v>
      </c>
      <c r="AY4" t="e">
        <f>AND(PriceComparison!L63,"AAAAAHf78zI=")</f>
        <v>#VALUE!</v>
      </c>
      <c r="AZ4">
        <f>IF(PriceComparison!64:64,"AAAAAHf78zM=",0)</f>
        <v>0</v>
      </c>
      <c r="BA4" t="e">
        <f>AND(PriceComparison!A64,"AAAAAHf78zQ=")</f>
        <v>#VALUE!</v>
      </c>
      <c r="BB4" t="e">
        <f>AND(PriceComparison!B64,"AAAAAHf78zU=")</f>
        <v>#VALUE!</v>
      </c>
      <c r="BC4" t="e">
        <f>AND(PriceComparison!C64,"AAAAAHf78zY=")</f>
        <v>#VALUE!</v>
      </c>
      <c r="BD4" t="e">
        <f>AND(PriceComparison!D64,"AAAAAHf78zc=")</f>
        <v>#VALUE!</v>
      </c>
      <c r="BE4" t="e">
        <f>AND(PriceComparison!E64,"AAAAAHf78zg=")</f>
        <v>#VALUE!</v>
      </c>
      <c r="BF4" t="e">
        <f>AND(PriceComparison!F64,"AAAAAHf78zk=")</f>
        <v>#VALUE!</v>
      </c>
      <c r="BG4" t="e">
        <f>AND(PriceComparison!G64,"AAAAAHf78zo=")</f>
        <v>#VALUE!</v>
      </c>
      <c r="BH4" t="e">
        <f>AND(PriceComparison!H64,"AAAAAHf78zs=")</f>
        <v>#VALUE!</v>
      </c>
      <c r="BI4" t="e">
        <f>AND(PriceComparison!I64,"AAAAAHf78zw=")</f>
        <v>#VALUE!</v>
      </c>
      <c r="BJ4" t="e">
        <f>AND(PriceComparison!J64,"AAAAAHf78z0=")</f>
        <v>#VALUE!</v>
      </c>
      <c r="BK4" t="e">
        <f>AND(PriceComparison!K64,"AAAAAHf78z4=")</f>
        <v>#VALUE!</v>
      </c>
      <c r="BL4" t="e">
        <f>AND(PriceComparison!L64,"AAAAAHf78z8=")</f>
        <v>#VALUE!</v>
      </c>
      <c r="BM4">
        <f>IF(PriceComparison!65:65,"AAAAAHf780A=",0)</f>
        <v>0</v>
      </c>
      <c r="BN4" t="e">
        <f>AND(PriceComparison!A65,"AAAAAHf780E=")</f>
        <v>#VALUE!</v>
      </c>
      <c r="BO4" t="e">
        <f>AND(PriceComparison!B65,"AAAAAHf780I=")</f>
        <v>#VALUE!</v>
      </c>
      <c r="BP4" t="e">
        <f>AND(PriceComparison!C65,"AAAAAHf780M=")</f>
        <v>#VALUE!</v>
      </c>
      <c r="BQ4" t="e">
        <f>AND(PriceComparison!D65,"AAAAAHf780Q=")</f>
        <v>#VALUE!</v>
      </c>
      <c r="BR4" t="e">
        <f>AND(PriceComparison!E65,"AAAAAHf780U=")</f>
        <v>#VALUE!</v>
      </c>
      <c r="BS4" t="e">
        <f>AND(PriceComparison!F65,"AAAAAHf780Y=")</f>
        <v>#VALUE!</v>
      </c>
      <c r="BT4" t="e">
        <f>AND(PriceComparison!G65,"AAAAAHf780c=")</f>
        <v>#VALUE!</v>
      </c>
      <c r="BU4" t="e">
        <f>AND(PriceComparison!H65,"AAAAAHf780g=")</f>
        <v>#VALUE!</v>
      </c>
      <c r="BV4" t="e">
        <f>AND(PriceComparison!I65,"AAAAAHf780k=")</f>
        <v>#VALUE!</v>
      </c>
      <c r="BW4" t="e">
        <f>AND(PriceComparison!J65,"AAAAAHf780o=")</f>
        <v>#VALUE!</v>
      </c>
      <c r="BX4" t="e">
        <f>AND(PriceComparison!K65,"AAAAAHf780s=")</f>
        <v>#VALUE!</v>
      </c>
      <c r="BY4" t="e">
        <f>AND(PriceComparison!L65,"AAAAAHf780w=")</f>
        <v>#VALUE!</v>
      </c>
      <c r="BZ4">
        <f>IF(PriceComparison!66:66,"AAAAAHf7800=",0)</f>
        <v>0</v>
      </c>
      <c r="CA4" t="e">
        <f>AND(PriceComparison!A66,"AAAAAHf7804=")</f>
        <v>#VALUE!</v>
      </c>
      <c r="CB4" t="e">
        <f>AND(PriceComparison!B66,"AAAAAHf7808=")</f>
        <v>#VALUE!</v>
      </c>
      <c r="CC4" t="e">
        <f>AND(PriceComparison!C66,"AAAAAHf781A=")</f>
        <v>#VALUE!</v>
      </c>
      <c r="CD4" t="e">
        <f>AND(PriceComparison!D66,"AAAAAHf781E=")</f>
        <v>#VALUE!</v>
      </c>
      <c r="CE4" t="e">
        <f>AND(PriceComparison!E66,"AAAAAHf781I=")</f>
        <v>#VALUE!</v>
      </c>
      <c r="CF4" t="e">
        <f>AND(PriceComparison!F66,"AAAAAHf781M=")</f>
        <v>#VALUE!</v>
      </c>
      <c r="CG4" t="e">
        <f>AND(PriceComparison!G66,"AAAAAHf781Q=")</f>
        <v>#VALUE!</v>
      </c>
      <c r="CH4" t="e">
        <f>AND(PriceComparison!H66,"AAAAAHf781U=")</f>
        <v>#VALUE!</v>
      </c>
      <c r="CI4" t="e">
        <f>AND(PriceComparison!I66,"AAAAAHf781Y=")</f>
        <v>#VALUE!</v>
      </c>
      <c r="CJ4" t="e">
        <f>AND(PriceComparison!J66,"AAAAAHf781c=")</f>
        <v>#VALUE!</v>
      </c>
      <c r="CK4" t="e">
        <f>AND(PriceComparison!K66,"AAAAAHf781g=")</f>
        <v>#VALUE!</v>
      </c>
      <c r="CL4" t="e">
        <f>AND(PriceComparison!L66,"AAAAAHf781k=")</f>
        <v>#VALUE!</v>
      </c>
      <c r="CM4">
        <f>IF(PriceComparison!67:67,"AAAAAHf781o=",0)</f>
        <v>0</v>
      </c>
      <c r="CN4" t="e">
        <f>AND(PriceComparison!A67,"AAAAAHf781s=")</f>
        <v>#VALUE!</v>
      </c>
      <c r="CO4" t="e">
        <f>AND(PriceComparison!B67,"AAAAAHf781w=")</f>
        <v>#VALUE!</v>
      </c>
      <c r="CP4" t="e">
        <f>AND(PriceComparison!C67,"AAAAAHf7810=")</f>
        <v>#VALUE!</v>
      </c>
      <c r="CQ4" t="e">
        <f>AND(PriceComparison!D67,"AAAAAHf7814=")</f>
        <v>#VALUE!</v>
      </c>
      <c r="CR4" t="e">
        <f>AND(PriceComparison!E67,"AAAAAHf7818=")</f>
        <v>#VALUE!</v>
      </c>
      <c r="CS4" t="e">
        <f>AND(PriceComparison!F67,"AAAAAHf782A=")</f>
        <v>#VALUE!</v>
      </c>
      <c r="CT4" t="e">
        <f>AND(PriceComparison!G67,"AAAAAHf782E=")</f>
        <v>#VALUE!</v>
      </c>
      <c r="CU4" t="e">
        <f>AND(PriceComparison!H67,"AAAAAHf782I=")</f>
        <v>#VALUE!</v>
      </c>
      <c r="CV4" t="e">
        <f>AND(PriceComparison!I67,"AAAAAHf782M=")</f>
        <v>#VALUE!</v>
      </c>
      <c r="CW4" t="e">
        <f>AND(PriceComparison!J67,"AAAAAHf782Q=")</f>
        <v>#VALUE!</v>
      </c>
      <c r="CX4" t="e">
        <f>AND(PriceComparison!K67,"AAAAAHf782U=")</f>
        <v>#VALUE!</v>
      </c>
      <c r="CY4" t="e">
        <f>AND(PriceComparison!L67,"AAAAAHf782Y=")</f>
        <v>#VALUE!</v>
      </c>
      <c r="CZ4">
        <f>IF(PriceComparison!68:68,"AAAAAHf782c=",0)</f>
        <v>0</v>
      </c>
      <c r="DA4" t="e">
        <f>AND(PriceComparison!A68,"AAAAAHf782g=")</f>
        <v>#VALUE!</v>
      </c>
      <c r="DB4" t="e">
        <f>AND(PriceComparison!B68,"AAAAAHf782k=")</f>
        <v>#VALUE!</v>
      </c>
      <c r="DC4" t="e">
        <f>AND(PriceComparison!C68,"AAAAAHf782o=")</f>
        <v>#VALUE!</v>
      </c>
      <c r="DD4" t="e">
        <f>AND(PriceComparison!D68,"AAAAAHf782s=")</f>
        <v>#VALUE!</v>
      </c>
      <c r="DE4" t="e">
        <f>AND(PriceComparison!E68,"AAAAAHf782w=")</f>
        <v>#VALUE!</v>
      </c>
      <c r="DF4" t="e">
        <f>AND(PriceComparison!B98,"AAAAAHf7820=")</f>
        <v>#VALUE!</v>
      </c>
      <c r="DG4" t="e">
        <f>AND(PriceComparison!F68,"AAAAAHf7824=")</f>
        <v>#VALUE!</v>
      </c>
      <c r="DH4" t="e">
        <f>AND(PriceComparison!G68,"AAAAAHf7828=")</f>
        <v>#VALUE!</v>
      </c>
      <c r="DI4" t="e">
        <f>AND(PriceComparison!H68,"AAAAAHf783A=")</f>
        <v>#VALUE!</v>
      </c>
      <c r="DJ4" t="e">
        <f>AND(PriceComparison!I68,"AAAAAHf783E=")</f>
        <v>#VALUE!</v>
      </c>
      <c r="DK4" t="e">
        <f>AND(PriceComparison!J68,"AAAAAHf783I=")</f>
        <v>#VALUE!</v>
      </c>
      <c r="DL4" t="e">
        <f>AND(PriceComparison!E98,"AAAAAHf783M=")</f>
        <v>#VALUE!</v>
      </c>
      <c r="DM4">
        <f>IF(PriceComparison!69:69,"AAAAAHf783Q=",0)</f>
        <v>0</v>
      </c>
      <c r="DN4" t="e">
        <f>AND(PriceComparison!A69,"AAAAAHf783U=")</f>
        <v>#VALUE!</v>
      </c>
      <c r="DO4" t="e">
        <f>AND(PriceComparison!B69,"AAAAAHf783Y=")</f>
        <v>#VALUE!</v>
      </c>
      <c r="DP4" t="e">
        <f>AND(PriceComparison!C69,"AAAAAHf783c=")</f>
        <v>#VALUE!</v>
      </c>
      <c r="DQ4" t="e">
        <f>AND(PriceComparison!D69,"AAAAAHf783g=")</f>
        <v>#VALUE!</v>
      </c>
      <c r="DR4" t="e">
        <f>AND(PriceComparison!E69,"AAAAAHf783k=")</f>
        <v>#VALUE!</v>
      </c>
      <c r="DS4" t="e">
        <f>AND(PriceComparison!B99,"AAAAAHf783o=")</f>
        <v>#VALUE!</v>
      </c>
      <c r="DT4" t="e">
        <f>AND(PriceComparison!F69,"AAAAAHf783s=")</f>
        <v>#VALUE!</v>
      </c>
      <c r="DU4" t="e">
        <f>AND(PriceComparison!G69,"AAAAAHf783w=")</f>
        <v>#VALUE!</v>
      </c>
      <c r="DV4" t="e">
        <f>AND(PriceComparison!H69,"AAAAAHf7830=")</f>
        <v>#VALUE!</v>
      </c>
      <c r="DW4" t="e">
        <f>AND(PriceComparison!I69,"AAAAAHf7834=")</f>
        <v>#VALUE!</v>
      </c>
      <c r="DX4" t="e">
        <f>AND(PriceComparison!J69,"AAAAAHf7838=")</f>
        <v>#VALUE!</v>
      </c>
      <c r="DY4" t="e">
        <f>AND(PriceComparison!E99,"AAAAAHf784A=")</f>
        <v>#VALUE!</v>
      </c>
      <c r="DZ4">
        <f>IF(PriceComparison!70:70,"AAAAAHf784E=",0)</f>
        <v>0</v>
      </c>
      <c r="EA4" t="e">
        <f>AND(PriceComparison!A70,"AAAAAHf784I=")</f>
        <v>#VALUE!</v>
      </c>
      <c r="EB4" t="e">
        <f>AND(PriceComparison!B70,"AAAAAHf784M=")</f>
        <v>#VALUE!</v>
      </c>
      <c r="EC4" t="e">
        <f>AND(PriceComparison!C70,"AAAAAHf784Q=")</f>
        <v>#VALUE!</v>
      </c>
      <c r="ED4" t="e">
        <f>AND(PriceComparison!D70,"AAAAAHf784U=")</f>
        <v>#VALUE!</v>
      </c>
      <c r="EE4" t="e">
        <f>AND(PriceComparison!E70,"AAAAAHf784Y=")</f>
        <v>#VALUE!</v>
      </c>
      <c r="EF4" t="e">
        <f>AND(PriceComparison!B100,"AAAAAHf784c=")</f>
        <v>#VALUE!</v>
      </c>
      <c r="EG4" t="e">
        <f>AND(PriceComparison!F70,"AAAAAHf784g=")</f>
        <v>#VALUE!</v>
      </c>
      <c r="EH4" t="e">
        <f>AND(PriceComparison!G70,"AAAAAHf784k=")</f>
        <v>#VALUE!</v>
      </c>
      <c r="EI4" t="e">
        <f>AND(PriceComparison!H70,"AAAAAHf784o=")</f>
        <v>#VALUE!</v>
      </c>
      <c r="EJ4" t="e">
        <f>AND(PriceComparison!I70,"AAAAAHf784s=")</f>
        <v>#VALUE!</v>
      </c>
      <c r="EK4" t="e">
        <f>AND(PriceComparison!J70,"AAAAAHf784w=")</f>
        <v>#VALUE!</v>
      </c>
      <c r="EL4" t="e">
        <f>AND(PriceComparison!E100,"AAAAAHf7840=")</f>
        <v>#VALUE!</v>
      </c>
      <c r="EM4">
        <f>IF(PriceComparison!71:71,"AAAAAHf7844=",0)</f>
        <v>0</v>
      </c>
      <c r="EN4" t="e">
        <f>AND(PriceComparison!A71,"AAAAAHf7848=")</f>
        <v>#VALUE!</v>
      </c>
      <c r="EO4" t="e">
        <f>AND(PriceComparison!B71,"AAAAAHf785A=")</f>
        <v>#VALUE!</v>
      </c>
      <c r="EP4" t="e">
        <f>AND(PriceComparison!C71,"AAAAAHf785E=")</f>
        <v>#VALUE!</v>
      </c>
      <c r="EQ4" t="e">
        <f>AND(PriceComparison!D71,"AAAAAHf785I=")</f>
        <v>#VALUE!</v>
      </c>
      <c r="ER4" t="e">
        <f>AND(PriceComparison!E71,"AAAAAHf785M=")</f>
        <v>#VALUE!</v>
      </c>
      <c r="ES4" t="e">
        <f>AND(PriceComparison!B101,"AAAAAHf785Q=")</f>
        <v>#VALUE!</v>
      </c>
      <c r="ET4" t="e">
        <f>AND(PriceComparison!F71,"AAAAAHf785U=")</f>
        <v>#VALUE!</v>
      </c>
      <c r="EU4" t="e">
        <f>AND(PriceComparison!G71,"AAAAAHf785Y=")</f>
        <v>#VALUE!</v>
      </c>
      <c r="EV4" t="e">
        <f>AND(PriceComparison!H71,"AAAAAHf785c=")</f>
        <v>#VALUE!</v>
      </c>
      <c r="EW4" t="e">
        <f>AND(PriceComparison!I71,"AAAAAHf785g=")</f>
        <v>#VALUE!</v>
      </c>
      <c r="EX4" t="e">
        <f>AND(PriceComparison!J71,"AAAAAHf785k=")</f>
        <v>#VALUE!</v>
      </c>
      <c r="EY4" t="e">
        <f>AND(PriceComparison!E101,"AAAAAHf785o=")</f>
        <v>#VALUE!</v>
      </c>
      <c r="EZ4">
        <f>IF(PriceComparison!72:72,"AAAAAHf785s=",0)</f>
        <v>0</v>
      </c>
      <c r="FA4" t="e">
        <f>AND(PriceComparison!A72,"AAAAAHf785w=")</f>
        <v>#VALUE!</v>
      </c>
      <c r="FB4" t="e">
        <f>AND(PriceComparison!B72,"AAAAAHf7850=")</f>
        <v>#VALUE!</v>
      </c>
      <c r="FC4" t="e">
        <f>AND(PriceComparison!C72,"AAAAAHf7854=")</f>
        <v>#VALUE!</v>
      </c>
      <c r="FD4" t="e">
        <f>AND(PriceComparison!D72,"AAAAAHf7858=")</f>
        <v>#VALUE!</v>
      </c>
      <c r="FE4" t="e">
        <f>AND(PriceComparison!E72,"AAAAAHf786A=")</f>
        <v>#VALUE!</v>
      </c>
      <c r="FF4" t="e">
        <f>AND(PriceComparison!B102,"AAAAAHf786E=")</f>
        <v>#VALUE!</v>
      </c>
      <c r="FG4" t="e">
        <f>AND(PriceComparison!F72,"AAAAAHf786I=")</f>
        <v>#VALUE!</v>
      </c>
      <c r="FH4" t="e">
        <f>AND(PriceComparison!G72,"AAAAAHf786M=")</f>
        <v>#VALUE!</v>
      </c>
      <c r="FI4" t="e">
        <f>AND(PriceComparison!H72,"AAAAAHf786Q=")</f>
        <v>#VALUE!</v>
      </c>
      <c r="FJ4" t="e">
        <f>AND(PriceComparison!I72,"AAAAAHf786U=")</f>
        <v>#VALUE!</v>
      </c>
      <c r="FK4" t="e">
        <f>AND(PriceComparison!J72,"AAAAAHf786Y=")</f>
        <v>#VALUE!</v>
      </c>
      <c r="FL4" t="e">
        <f>AND(PriceComparison!E102,"AAAAAHf786c=")</f>
        <v>#VALUE!</v>
      </c>
      <c r="FM4">
        <f>IF(PriceComparison!73:73,"AAAAAHf786g=",0)</f>
        <v>0</v>
      </c>
      <c r="FN4" t="e">
        <f>AND(PriceComparison!A73,"AAAAAHf786k=")</f>
        <v>#VALUE!</v>
      </c>
      <c r="FO4" t="e">
        <f>AND(PriceComparison!B73,"AAAAAHf786o=")</f>
        <v>#VALUE!</v>
      </c>
      <c r="FP4" t="e">
        <f>AND(PriceComparison!C73,"AAAAAHf786s=")</f>
        <v>#VALUE!</v>
      </c>
      <c r="FQ4" t="e">
        <f>AND(PriceComparison!D73,"AAAAAHf786w=")</f>
        <v>#VALUE!</v>
      </c>
      <c r="FR4" t="e">
        <f>AND(PriceComparison!E73,"AAAAAHf7860=")</f>
        <v>#VALUE!</v>
      </c>
      <c r="FS4" t="e">
        <f>AND(PriceComparison!B103,"AAAAAHf7864=")</f>
        <v>#VALUE!</v>
      </c>
      <c r="FT4" t="e">
        <f>AND(PriceComparison!F73,"AAAAAHf7868=")</f>
        <v>#VALUE!</v>
      </c>
      <c r="FU4" t="e">
        <f>AND(PriceComparison!G73,"AAAAAHf787A=")</f>
        <v>#VALUE!</v>
      </c>
      <c r="FV4" t="e">
        <f>AND(PriceComparison!H73,"AAAAAHf787E=")</f>
        <v>#VALUE!</v>
      </c>
      <c r="FW4" t="e">
        <f>AND(PriceComparison!I73,"AAAAAHf787I=")</f>
        <v>#VALUE!</v>
      </c>
      <c r="FX4" t="e">
        <f>AND(PriceComparison!J73,"AAAAAHf787M=")</f>
        <v>#VALUE!</v>
      </c>
      <c r="FY4" t="e">
        <f>AND(PriceComparison!E103,"AAAAAHf787Q=")</f>
        <v>#VALUE!</v>
      </c>
      <c r="FZ4">
        <f>IF(PriceComparison!74:74,"AAAAAHf787U=",0)</f>
        <v>0</v>
      </c>
      <c r="GA4" t="e">
        <f>AND(PriceComparison!A74,"AAAAAHf787Y=")</f>
        <v>#VALUE!</v>
      </c>
      <c r="GB4" t="e">
        <f>AND(PriceComparison!B74,"AAAAAHf787c=")</f>
        <v>#VALUE!</v>
      </c>
      <c r="GC4" t="e">
        <f>AND(PriceComparison!C74,"AAAAAHf787g=")</f>
        <v>#VALUE!</v>
      </c>
      <c r="GD4" t="e">
        <f>AND(PriceComparison!D74,"AAAAAHf787k=")</f>
        <v>#VALUE!</v>
      </c>
      <c r="GE4" t="e">
        <f>AND(PriceComparison!E74,"AAAAAHf787o=")</f>
        <v>#VALUE!</v>
      </c>
      <c r="GF4" t="e">
        <f>AND(PriceComparison!B104,"AAAAAHf787s=")</f>
        <v>#VALUE!</v>
      </c>
      <c r="GG4" t="e">
        <f>AND(PriceComparison!F74,"AAAAAHf787w=")</f>
        <v>#VALUE!</v>
      </c>
      <c r="GH4" t="e">
        <f>AND(PriceComparison!G74,"AAAAAHf7870=")</f>
        <v>#VALUE!</v>
      </c>
      <c r="GI4" t="e">
        <f>AND(PriceComparison!H74,"AAAAAHf7874=")</f>
        <v>#VALUE!</v>
      </c>
      <c r="GJ4" t="e">
        <f>AND(PriceComparison!I74,"AAAAAHf7878=")</f>
        <v>#VALUE!</v>
      </c>
      <c r="GK4" t="e">
        <f>AND(PriceComparison!J74,"AAAAAHf788A=")</f>
        <v>#VALUE!</v>
      </c>
      <c r="GL4" t="e">
        <f>AND(PriceComparison!E104,"AAAAAHf788E=")</f>
        <v>#VALUE!</v>
      </c>
      <c r="GM4">
        <f>IF(PriceComparison!75:75,"AAAAAHf788I=",0)</f>
        <v>0</v>
      </c>
      <c r="GN4" t="e">
        <f>AND(PriceComparison!A75,"AAAAAHf788M=")</f>
        <v>#VALUE!</v>
      </c>
      <c r="GO4" t="e">
        <f>AND(PriceComparison!B75,"AAAAAHf788Q=")</f>
        <v>#VALUE!</v>
      </c>
      <c r="GP4" t="e">
        <f>AND(PriceComparison!C75,"AAAAAHf788U=")</f>
        <v>#VALUE!</v>
      </c>
      <c r="GQ4" t="e">
        <f>AND(PriceComparison!D75,"AAAAAHf788Y=")</f>
        <v>#VALUE!</v>
      </c>
      <c r="GR4" t="e">
        <f>AND(PriceComparison!E75,"AAAAAHf788c=")</f>
        <v>#VALUE!</v>
      </c>
      <c r="GS4" t="e">
        <f>AND(PriceComparison!B105,"AAAAAHf788g=")</f>
        <v>#VALUE!</v>
      </c>
      <c r="GT4" t="e">
        <f>AND(PriceComparison!F75,"AAAAAHf788k=")</f>
        <v>#VALUE!</v>
      </c>
      <c r="GU4" t="e">
        <f>AND(PriceComparison!G75,"AAAAAHf788o=")</f>
        <v>#VALUE!</v>
      </c>
      <c r="GV4" t="e">
        <f>AND(PriceComparison!H75,"AAAAAHf788s=")</f>
        <v>#VALUE!</v>
      </c>
      <c r="GW4" t="e">
        <f>AND(PriceComparison!I75,"AAAAAHf788w=")</f>
        <v>#VALUE!</v>
      </c>
      <c r="GX4" t="e">
        <f>AND(PriceComparison!J75,"AAAAAHf7880=")</f>
        <v>#VALUE!</v>
      </c>
      <c r="GY4" t="e">
        <f>AND(PriceComparison!E105,"AAAAAHf7884=")</f>
        <v>#VALUE!</v>
      </c>
      <c r="GZ4">
        <f>IF(PriceComparison!76:76,"AAAAAHf7888=",0)</f>
        <v>0</v>
      </c>
      <c r="HA4" t="e">
        <f>AND(PriceComparison!A76,"AAAAAHf789A=")</f>
        <v>#VALUE!</v>
      </c>
      <c r="HB4" t="e">
        <f>AND(PriceComparison!B76,"AAAAAHf789E=")</f>
        <v>#VALUE!</v>
      </c>
      <c r="HC4" t="e">
        <f>AND(PriceComparison!C76,"AAAAAHf789I=")</f>
        <v>#VALUE!</v>
      </c>
      <c r="HD4" t="e">
        <f>AND(PriceComparison!D76,"AAAAAHf789M=")</f>
        <v>#VALUE!</v>
      </c>
      <c r="HE4" t="e">
        <f>AND(PriceComparison!E76,"AAAAAHf789Q=")</f>
        <v>#VALUE!</v>
      </c>
      <c r="HF4" t="e">
        <f>AND(PriceComparison!B106,"AAAAAHf789U=")</f>
        <v>#VALUE!</v>
      </c>
      <c r="HG4" t="e">
        <f>AND(PriceComparison!F76,"AAAAAHf789Y=")</f>
        <v>#VALUE!</v>
      </c>
      <c r="HH4" t="e">
        <f>AND(PriceComparison!G76,"AAAAAHf789c=")</f>
        <v>#VALUE!</v>
      </c>
      <c r="HI4" t="e">
        <f>AND(PriceComparison!H76,"AAAAAHf789g=")</f>
        <v>#VALUE!</v>
      </c>
      <c r="HJ4" t="e">
        <f>AND(PriceComparison!I76,"AAAAAHf789k=")</f>
        <v>#VALUE!</v>
      </c>
      <c r="HK4" t="e">
        <f>AND(PriceComparison!J76,"AAAAAHf789o=")</f>
        <v>#VALUE!</v>
      </c>
      <c r="HL4" t="e">
        <f>AND(PriceComparison!E106,"AAAAAHf789s=")</f>
        <v>#VALUE!</v>
      </c>
      <c r="HM4">
        <f>IF(PriceComparison!77:77,"AAAAAHf789w=",0)</f>
        <v>0</v>
      </c>
      <c r="HN4" t="e">
        <f>AND(PriceComparison!A77,"AAAAAHf7890=")</f>
        <v>#VALUE!</v>
      </c>
      <c r="HO4" t="e">
        <f>AND(PriceComparison!B77,"AAAAAHf7894=")</f>
        <v>#VALUE!</v>
      </c>
      <c r="HP4" t="e">
        <f>AND(PriceComparison!C77,"AAAAAHf7898=")</f>
        <v>#VALUE!</v>
      </c>
      <c r="HQ4" t="e">
        <f>AND(PriceComparison!D77,"AAAAAHf78+A=")</f>
        <v>#VALUE!</v>
      </c>
      <c r="HR4" t="e">
        <f>AND(PriceComparison!E77,"AAAAAHf78+E=")</f>
        <v>#VALUE!</v>
      </c>
      <c r="HS4" t="e">
        <f>AND(PriceComparison!B107,"AAAAAHf78+I=")</f>
        <v>#VALUE!</v>
      </c>
      <c r="HT4" t="e">
        <f>AND(PriceComparison!F77,"AAAAAHf78+M=")</f>
        <v>#VALUE!</v>
      </c>
      <c r="HU4" t="e">
        <f>AND(PriceComparison!G77,"AAAAAHf78+Q=")</f>
        <v>#VALUE!</v>
      </c>
      <c r="HV4" t="e">
        <f>AND(PriceComparison!H77,"AAAAAHf78+U=")</f>
        <v>#VALUE!</v>
      </c>
      <c r="HW4" t="e">
        <f>AND(PriceComparison!I77,"AAAAAHf78+Y=")</f>
        <v>#VALUE!</v>
      </c>
      <c r="HX4" t="e">
        <f>AND(PriceComparison!J77,"AAAAAHf78+c=")</f>
        <v>#VALUE!</v>
      </c>
      <c r="HY4" t="e">
        <f>AND(PriceComparison!E107,"AAAAAHf78+g=")</f>
        <v>#VALUE!</v>
      </c>
      <c r="HZ4">
        <f>IF(PriceComparison!78:78,"AAAAAHf78+k=",0)</f>
        <v>0</v>
      </c>
      <c r="IA4" t="e">
        <f>AND(PriceComparison!A78,"AAAAAHf78+o=")</f>
        <v>#VALUE!</v>
      </c>
      <c r="IB4" t="e">
        <f>AND(PriceComparison!B78,"AAAAAHf78+s=")</f>
        <v>#VALUE!</v>
      </c>
      <c r="IC4" t="e">
        <f>AND(PriceComparison!C78,"AAAAAHf78+w=")</f>
        <v>#VALUE!</v>
      </c>
      <c r="ID4" t="e">
        <f>AND(PriceComparison!D78,"AAAAAHf78+0=")</f>
        <v>#VALUE!</v>
      </c>
      <c r="IE4" t="e">
        <f>AND(PriceComparison!E78,"AAAAAHf78+4=")</f>
        <v>#VALUE!</v>
      </c>
      <c r="IF4" t="e">
        <f>AND(PriceComparison!B108,"AAAAAHf78+8=")</f>
        <v>#VALUE!</v>
      </c>
      <c r="IG4" t="e">
        <f>AND(PriceComparison!F78,"AAAAAHf78/A=")</f>
        <v>#VALUE!</v>
      </c>
      <c r="IH4" t="e">
        <f>AND(PriceComparison!G78,"AAAAAHf78/E=")</f>
        <v>#VALUE!</v>
      </c>
      <c r="II4" t="e">
        <f>AND(PriceComparison!H78,"AAAAAHf78/I=")</f>
        <v>#VALUE!</v>
      </c>
      <c r="IJ4" t="e">
        <f>AND(PriceComparison!I78,"AAAAAHf78/M=")</f>
        <v>#VALUE!</v>
      </c>
      <c r="IK4" t="e">
        <f>AND(PriceComparison!J78,"AAAAAHf78/Q=")</f>
        <v>#VALUE!</v>
      </c>
      <c r="IL4" t="e">
        <f>AND(PriceComparison!E108,"AAAAAHf78/U=")</f>
        <v>#VALUE!</v>
      </c>
      <c r="IM4">
        <f>IF(PriceComparison!79:79,"AAAAAHf78/Y=",0)</f>
        <v>0</v>
      </c>
      <c r="IN4" t="e">
        <f>AND(PriceComparison!A79,"AAAAAHf78/c=")</f>
        <v>#VALUE!</v>
      </c>
      <c r="IO4" t="e">
        <f>AND(PriceComparison!B79,"AAAAAHf78/g=")</f>
        <v>#VALUE!</v>
      </c>
      <c r="IP4" t="e">
        <f>AND(PriceComparison!C79,"AAAAAHf78/k=")</f>
        <v>#VALUE!</v>
      </c>
      <c r="IQ4" t="e">
        <f>AND(PriceComparison!D79,"AAAAAHf78/o=")</f>
        <v>#VALUE!</v>
      </c>
      <c r="IR4" t="e">
        <f>AND(PriceComparison!E79,"AAAAAHf78/s=")</f>
        <v>#VALUE!</v>
      </c>
      <c r="IS4" t="e">
        <f>AND(PriceComparison!B109,"AAAAAHf78/w=")</f>
        <v>#VALUE!</v>
      </c>
      <c r="IT4" t="e">
        <f>AND(PriceComparison!F79,"AAAAAHf78/0=")</f>
        <v>#VALUE!</v>
      </c>
      <c r="IU4" t="e">
        <f>AND(PriceComparison!G79,"AAAAAHf78/4=")</f>
        <v>#VALUE!</v>
      </c>
      <c r="IV4" t="e">
        <f>AND(PriceComparison!H79,"AAAAAHf78/8=")</f>
        <v>#VALUE!</v>
      </c>
    </row>
    <row r="5" spans="1:256" x14ac:dyDescent="0.25">
      <c r="A5" t="e">
        <f>AND(PriceComparison!I79,"AAAAAH7/9AA=")</f>
        <v>#VALUE!</v>
      </c>
      <c r="B5" t="e">
        <f>AND(PriceComparison!J79,"AAAAAH7/9AE=")</f>
        <v>#VALUE!</v>
      </c>
      <c r="C5" t="e">
        <f>AND(PriceComparison!E109,"AAAAAH7/9AI=")</f>
        <v>#VALUE!</v>
      </c>
      <c r="D5" t="e">
        <f>IF(PriceComparison!80:80,"AAAAAH7/9AM=",0)</f>
        <v>#VALUE!</v>
      </c>
      <c r="E5" t="e">
        <f>AND(PriceComparison!A80,"AAAAAH7/9AQ=")</f>
        <v>#VALUE!</v>
      </c>
      <c r="F5" t="e">
        <f>AND(PriceComparison!B80,"AAAAAH7/9AU=")</f>
        <v>#VALUE!</v>
      </c>
      <c r="G5" t="e">
        <f>AND(PriceComparison!C80,"AAAAAH7/9AY=")</f>
        <v>#VALUE!</v>
      </c>
      <c r="H5" t="e">
        <f>AND(PriceComparison!D80,"AAAAAH7/9Ac=")</f>
        <v>#VALUE!</v>
      </c>
      <c r="I5" t="e">
        <f>AND(PriceComparison!E80,"AAAAAH7/9Ag=")</f>
        <v>#VALUE!</v>
      </c>
      <c r="J5" t="e">
        <f>AND(PriceComparison!B110,"AAAAAH7/9Ak=")</f>
        <v>#VALUE!</v>
      </c>
      <c r="K5" t="e">
        <f>AND(PriceComparison!F80,"AAAAAH7/9Ao=")</f>
        <v>#VALUE!</v>
      </c>
      <c r="L5" t="e">
        <f>AND(PriceComparison!G80,"AAAAAH7/9As=")</f>
        <v>#VALUE!</v>
      </c>
      <c r="M5" t="e">
        <f>AND(PriceComparison!H80,"AAAAAH7/9Aw=")</f>
        <v>#VALUE!</v>
      </c>
      <c r="N5" t="e">
        <f>AND(PriceComparison!I80,"AAAAAH7/9A0=")</f>
        <v>#VALUE!</v>
      </c>
      <c r="O5" t="e">
        <f>AND(PriceComparison!J80,"AAAAAH7/9A4=")</f>
        <v>#VALUE!</v>
      </c>
      <c r="P5" t="e">
        <f>AND(PriceComparison!E110,"AAAAAH7/9A8=")</f>
        <v>#VALUE!</v>
      </c>
      <c r="Q5">
        <f>IF(PriceComparison!81:81,"AAAAAH7/9BA=",0)</f>
        <v>0</v>
      </c>
      <c r="R5" t="e">
        <f>AND(PriceComparison!A81,"AAAAAH7/9BE=")</f>
        <v>#VALUE!</v>
      </c>
      <c r="S5" t="e">
        <f>AND(PriceComparison!B81,"AAAAAH7/9BI=")</f>
        <v>#VALUE!</v>
      </c>
      <c r="T5" t="e">
        <f>AND(PriceComparison!C81,"AAAAAH7/9BM=")</f>
        <v>#VALUE!</v>
      </c>
      <c r="U5" t="e">
        <f>AND(PriceComparison!D81,"AAAAAH7/9BQ=")</f>
        <v>#VALUE!</v>
      </c>
      <c r="V5" t="e">
        <f>AND(PriceComparison!E81,"AAAAAH7/9BU=")</f>
        <v>#VALUE!</v>
      </c>
      <c r="W5" t="e">
        <f>AND(PriceComparison!B111,"AAAAAH7/9BY=")</f>
        <v>#VALUE!</v>
      </c>
      <c r="X5" t="e">
        <f>AND(PriceComparison!F81,"AAAAAH7/9Bc=")</f>
        <v>#VALUE!</v>
      </c>
      <c r="Y5" t="e">
        <f>AND(PriceComparison!G81,"AAAAAH7/9Bg=")</f>
        <v>#VALUE!</v>
      </c>
      <c r="Z5" t="e">
        <f>AND(PriceComparison!H81,"AAAAAH7/9Bk=")</f>
        <v>#VALUE!</v>
      </c>
      <c r="AA5" t="e">
        <f>AND(PriceComparison!I81,"AAAAAH7/9Bo=")</f>
        <v>#VALUE!</v>
      </c>
      <c r="AB5" t="e">
        <f>AND(PriceComparison!J81,"AAAAAH7/9Bs=")</f>
        <v>#VALUE!</v>
      </c>
      <c r="AC5" t="e">
        <f>AND(PriceComparison!E111,"AAAAAH7/9Bw=")</f>
        <v>#VALUE!</v>
      </c>
      <c r="AD5">
        <f>IF(PriceComparison!82:82,"AAAAAH7/9B0=",0)</f>
        <v>0</v>
      </c>
      <c r="AE5" t="e">
        <f>AND(PriceComparison!A82,"AAAAAH7/9B4=")</f>
        <v>#VALUE!</v>
      </c>
      <c r="AF5" t="e">
        <f>AND(PriceComparison!B82,"AAAAAH7/9B8=")</f>
        <v>#VALUE!</v>
      </c>
      <c r="AG5" t="e">
        <f>AND(PriceComparison!C82,"AAAAAH7/9CA=")</f>
        <v>#VALUE!</v>
      </c>
      <c r="AH5" t="e">
        <f>AND(PriceComparison!D82,"AAAAAH7/9CE=")</f>
        <v>#VALUE!</v>
      </c>
      <c r="AI5" t="e">
        <f>AND(PriceComparison!E82,"AAAAAH7/9CI=")</f>
        <v>#VALUE!</v>
      </c>
      <c r="AJ5" t="e">
        <f>AND(PriceComparison!F82,"AAAAAH7/9CM=")</f>
        <v>#VALUE!</v>
      </c>
      <c r="AK5" t="e">
        <f>AND(PriceComparison!G82,"AAAAAH7/9CQ=")</f>
        <v>#VALUE!</v>
      </c>
      <c r="AL5" t="e">
        <f>AND(PriceComparison!H82,"AAAAAH7/9CU=")</f>
        <v>#VALUE!</v>
      </c>
      <c r="AM5" t="e">
        <f>AND(PriceComparison!I82,"AAAAAH7/9CY=")</f>
        <v>#VALUE!</v>
      </c>
      <c r="AN5" t="e">
        <f>AND(PriceComparison!J82,"AAAAAH7/9Cc=")</f>
        <v>#VALUE!</v>
      </c>
      <c r="AO5" t="e">
        <f>AND(PriceComparison!K82,"AAAAAH7/9Cg=")</f>
        <v>#VALUE!</v>
      </c>
      <c r="AP5" t="e">
        <f>AND(PriceComparison!L82,"AAAAAH7/9Ck=")</f>
        <v>#VALUE!</v>
      </c>
      <c r="AQ5">
        <f>IF(PriceComparison!83:83,"AAAAAH7/9Co=",0)</f>
        <v>0</v>
      </c>
      <c r="AR5" t="e">
        <f>AND(PriceComparison!A83,"AAAAAH7/9Cs=")</f>
        <v>#VALUE!</v>
      </c>
      <c r="AS5" t="e">
        <f>AND(PriceComparison!B83,"AAAAAH7/9Cw=")</f>
        <v>#VALUE!</v>
      </c>
      <c r="AT5" t="e">
        <f>AND(PriceComparison!C83,"AAAAAH7/9C0=")</f>
        <v>#VALUE!</v>
      </c>
      <c r="AU5" t="e">
        <f>AND(PriceComparison!D83,"AAAAAH7/9C4=")</f>
        <v>#VALUE!</v>
      </c>
      <c r="AV5" t="e">
        <f>AND(PriceComparison!E83,"AAAAAH7/9C8=")</f>
        <v>#VALUE!</v>
      </c>
      <c r="AW5" t="e">
        <f>AND(PriceComparison!C98,"AAAAAH7/9DA=")</f>
        <v>#VALUE!</v>
      </c>
      <c r="AX5" t="e">
        <f>AND(PriceComparison!F83,"AAAAAH7/9DE=")</f>
        <v>#VALUE!</v>
      </c>
      <c r="AY5" t="e">
        <f>AND(PriceComparison!G83,"AAAAAH7/9DI=")</f>
        <v>#VALUE!</v>
      </c>
      <c r="AZ5" t="e">
        <f>AND(PriceComparison!H83,"AAAAAH7/9DM=")</f>
        <v>#VALUE!</v>
      </c>
      <c r="BA5" t="e">
        <f>AND(PriceComparison!I83,"AAAAAH7/9DQ=")</f>
        <v>#VALUE!</v>
      </c>
      <c r="BB5" t="e">
        <f>AND(PriceComparison!J83,"AAAAAH7/9DU=")</f>
        <v>#VALUE!</v>
      </c>
      <c r="BC5" t="e">
        <f>AND(PriceComparison!F98,"AAAAAH7/9DY=")</f>
        <v>#VALUE!</v>
      </c>
      <c r="BD5">
        <f>IF(PriceComparison!84:84,"AAAAAH7/9Dc=",0)</f>
        <v>0</v>
      </c>
      <c r="BE5" t="e">
        <f>AND(PriceComparison!A84,"AAAAAH7/9Dg=")</f>
        <v>#VALUE!</v>
      </c>
      <c r="BF5" t="e">
        <f>AND(PriceComparison!B84,"AAAAAH7/9Dk=")</f>
        <v>#VALUE!</v>
      </c>
      <c r="BG5" t="e">
        <f>AND(PriceComparison!C84,"AAAAAH7/9Do=")</f>
        <v>#VALUE!</v>
      </c>
      <c r="BH5" t="e">
        <f>AND(PriceComparison!D84,"AAAAAH7/9Ds=")</f>
        <v>#VALUE!</v>
      </c>
      <c r="BI5" t="e">
        <f>AND(PriceComparison!E84,"AAAAAH7/9Dw=")</f>
        <v>#VALUE!</v>
      </c>
      <c r="BJ5" t="e">
        <f>AND(PriceComparison!C99,"AAAAAH7/9D0=")</f>
        <v>#VALUE!</v>
      </c>
      <c r="BK5" t="e">
        <f>AND(PriceComparison!F84,"AAAAAH7/9D4=")</f>
        <v>#VALUE!</v>
      </c>
      <c r="BL5" t="e">
        <f>AND(PriceComparison!G84,"AAAAAH7/9D8=")</f>
        <v>#VALUE!</v>
      </c>
      <c r="BM5" t="e">
        <f>AND(PriceComparison!H84,"AAAAAH7/9EA=")</f>
        <v>#VALUE!</v>
      </c>
      <c r="BN5" t="e">
        <f>AND(PriceComparison!I84,"AAAAAH7/9EE=")</f>
        <v>#VALUE!</v>
      </c>
      <c r="BO5" t="e">
        <f>AND(PriceComparison!J84,"AAAAAH7/9EI=")</f>
        <v>#VALUE!</v>
      </c>
      <c r="BP5" t="e">
        <f>AND(PriceComparison!F99,"AAAAAH7/9EM=")</f>
        <v>#VALUE!</v>
      </c>
      <c r="BQ5">
        <f>IF(PriceComparison!85:85,"AAAAAH7/9EQ=",0)</f>
        <v>0</v>
      </c>
      <c r="BR5" t="e">
        <f>AND(PriceComparison!A85,"AAAAAH7/9EU=")</f>
        <v>#VALUE!</v>
      </c>
      <c r="BS5" t="e">
        <f>AND(PriceComparison!B85,"AAAAAH7/9EY=")</f>
        <v>#VALUE!</v>
      </c>
      <c r="BT5" t="e">
        <f>AND(PriceComparison!C85,"AAAAAH7/9Ec=")</f>
        <v>#VALUE!</v>
      </c>
      <c r="BU5" t="e">
        <f>AND(PriceComparison!D85,"AAAAAH7/9Eg=")</f>
        <v>#VALUE!</v>
      </c>
      <c r="BV5" t="e">
        <f>AND(PriceComparison!E85,"AAAAAH7/9Ek=")</f>
        <v>#VALUE!</v>
      </c>
      <c r="BW5" t="e">
        <f>AND(PriceComparison!C100,"AAAAAH7/9Eo=")</f>
        <v>#VALUE!</v>
      </c>
      <c r="BX5" t="e">
        <f>AND(PriceComparison!F85,"AAAAAH7/9Es=")</f>
        <v>#VALUE!</v>
      </c>
      <c r="BY5" t="e">
        <f>AND(PriceComparison!G85,"AAAAAH7/9Ew=")</f>
        <v>#VALUE!</v>
      </c>
      <c r="BZ5" t="e">
        <f>AND(PriceComparison!H85,"AAAAAH7/9E0=")</f>
        <v>#VALUE!</v>
      </c>
      <c r="CA5" t="e">
        <f>AND(PriceComparison!I85,"AAAAAH7/9E4=")</f>
        <v>#VALUE!</v>
      </c>
      <c r="CB5" t="e">
        <f>AND(PriceComparison!J85,"AAAAAH7/9E8=")</f>
        <v>#VALUE!</v>
      </c>
      <c r="CC5" t="e">
        <f>AND(PriceComparison!F100,"AAAAAH7/9FA=")</f>
        <v>#VALUE!</v>
      </c>
      <c r="CD5">
        <f>IF(PriceComparison!86:86,"AAAAAH7/9FE=",0)</f>
        <v>0</v>
      </c>
      <c r="CE5" t="e">
        <f>AND(PriceComparison!A86,"AAAAAH7/9FI=")</f>
        <v>#VALUE!</v>
      </c>
      <c r="CF5" t="e">
        <f>AND(PriceComparison!B86,"AAAAAH7/9FM=")</f>
        <v>#VALUE!</v>
      </c>
      <c r="CG5" t="e">
        <f>AND(PriceComparison!C86,"AAAAAH7/9FQ=")</f>
        <v>#VALUE!</v>
      </c>
      <c r="CH5" t="e">
        <f>AND(PriceComparison!D86,"AAAAAH7/9FU=")</f>
        <v>#VALUE!</v>
      </c>
      <c r="CI5" t="e">
        <f>AND(PriceComparison!E86,"AAAAAH7/9FY=")</f>
        <v>#VALUE!</v>
      </c>
      <c r="CJ5" t="e">
        <f>AND(PriceComparison!C101,"AAAAAH7/9Fc=")</f>
        <v>#VALUE!</v>
      </c>
      <c r="CK5" t="e">
        <f>AND(PriceComparison!F86,"AAAAAH7/9Fg=")</f>
        <v>#VALUE!</v>
      </c>
      <c r="CL5" t="e">
        <f>AND(PriceComparison!G86,"AAAAAH7/9Fk=")</f>
        <v>#VALUE!</v>
      </c>
      <c r="CM5" t="e">
        <f>AND(PriceComparison!H86,"AAAAAH7/9Fo=")</f>
        <v>#VALUE!</v>
      </c>
      <c r="CN5" t="e">
        <f>AND(PriceComparison!I86,"AAAAAH7/9Fs=")</f>
        <v>#VALUE!</v>
      </c>
      <c r="CO5" t="e">
        <f>AND(PriceComparison!J86,"AAAAAH7/9Fw=")</f>
        <v>#VALUE!</v>
      </c>
      <c r="CP5" t="e">
        <f>AND(PriceComparison!F101,"AAAAAH7/9F0=")</f>
        <v>#VALUE!</v>
      </c>
      <c r="CQ5">
        <f>IF(PriceComparison!87:87,"AAAAAH7/9F4=",0)</f>
        <v>0</v>
      </c>
      <c r="CR5" t="e">
        <f>AND(PriceComparison!A87,"AAAAAH7/9F8=")</f>
        <v>#VALUE!</v>
      </c>
      <c r="CS5" t="e">
        <f>AND(PriceComparison!B87,"AAAAAH7/9GA=")</f>
        <v>#VALUE!</v>
      </c>
      <c r="CT5" t="e">
        <f>AND(PriceComparison!C87,"AAAAAH7/9GE=")</f>
        <v>#VALUE!</v>
      </c>
      <c r="CU5" t="e">
        <f>AND(PriceComparison!D87,"AAAAAH7/9GI=")</f>
        <v>#VALUE!</v>
      </c>
      <c r="CV5" t="e">
        <f>AND(PriceComparison!E87,"AAAAAH7/9GM=")</f>
        <v>#VALUE!</v>
      </c>
      <c r="CW5" t="e">
        <f>AND(PriceComparison!C102,"AAAAAH7/9GQ=")</f>
        <v>#VALUE!</v>
      </c>
      <c r="CX5" t="e">
        <f>AND(PriceComparison!F87,"AAAAAH7/9GU=")</f>
        <v>#VALUE!</v>
      </c>
      <c r="CY5" t="e">
        <f>AND(PriceComparison!G87,"AAAAAH7/9GY=")</f>
        <v>#VALUE!</v>
      </c>
      <c r="CZ5" t="e">
        <f>AND(PriceComparison!H87,"AAAAAH7/9Gc=")</f>
        <v>#VALUE!</v>
      </c>
      <c r="DA5" t="e">
        <f>AND(PriceComparison!I87,"AAAAAH7/9Gg=")</f>
        <v>#VALUE!</v>
      </c>
      <c r="DB5" t="e">
        <f>AND(PriceComparison!J87,"AAAAAH7/9Gk=")</f>
        <v>#VALUE!</v>
      </c>
      <c r="DC5" t="e">
        <f>AND(PriceComparison!F102,"AAAAAH7/9Go=")</f>
        <v>#VALUE!</v>
      </c>
      <c r="DD5">
        <f>IF(PriceComparison!88:88,"AAAAAH7/9Gs=",0)</f>
        <v>0</v>
      </c>
      <c r="DE5" t="e">
        <f>AND(PriceComparison!A88,"AAAAAH7/9Gw=")</f>
        <v>#VALUE!</v>
      </c>
      <c r="DF5" t="e">
        <f>AND(PriceComparison!B88,"AAAAAH7/9G0=")</f>
        <v>#VALUE!</v>
      </c>
      <c r="DG5" t="e">
        <f>AND(PriceComparison!C88,"AAAAAH7/9G4=")</f>
        <v>#VALUE!</v>
      </c>
      <c r="DH5" t="e">
        <f>AND(PriceComparison!D88,"AAAAAH7/9G8=")</f>
        <v>#VALUE!</v>
      </c>
      <c r="DI5" t="e">
        <f>AND(PriceComparison!E88,"AAAAAH7/9HA=")</f>
        <v>#VALUE!</v>
      </c>
      <c r="DJ5" t="e">
        <f>AND(PriceComparison!C103,"AAAAAH7/9HE=")</f>
        <v>#VALUE!</v>
      </c>
      <c r="DK5" t="e">
        <f>AND(PriceComparison!F88,"AAAAAH7/9HI=")</f>
        <v>#VALUE!</v>
      </c>
      <c r="DL5" t="e">
        <f>AND(PriceComparison!G88,"AAAAAH7/9HM=")</f>
        <v>#VALUE!</v>
      </c>
      <c r="DM5" t="e">
        <f>AND(PriceComparison!H88,"AAAAAH7/9HQ=")</f>
        <v>#VALUE!</v>
      </c>
      <c r="DN5" t="e">
        <f>AND(PriceComparison!I88,"AAAAAH7/9HU=")</f>
        <v>#VALUE!</v>
      </c>
      <c r="DO5" t="e">
        <f>AND(PriceComparison!J88,"AAAAAH7/9HY=")</f>
        <v>#VALUE!</v>
      </c>
      <c r="DP5" t="e">
        <f>AND(PriceComparison!F103,"AAAAAH7/9Hc=")</f>
        <v>#VALUE!</v>
      </c>
      <c r="DQ5">
        <f>IF(PriceComparison!89:89,"AAAAAH7/9Hg=",0)</f>
        <v>0</v>
      </c>
      <c r="DR5" t="e">
        <f>AND(PriceComparison!A89,"AAAAAH7/9Hk=")</f>
        <v>#VALUE!</v>
      </c>
      <c r="DS5" t="e">
        <f>AND(PriceComparison!B89,"AAAAAH7/9Ho=")</f>
        <v>#VALUE!</v>
      </c>
      <c r="DT5" t="e">
        <f>AND(PriceComparison!C89,"AAAAAH7/9Hs=")</f>
        <v>#VALUE!</v>
      </c>
      <c r="DU5" t="e">
        <f>AND(PriceComparison!D89,"AAAAAH7/9Hw=")</f>
        <v>#VALUE!</v>
      </c>
      <c r="DV5" t="e">
        <f>AND(PriceComparison!E89,"AAAAAH7/9H0=")</f>
        <v>#VALUE!</v>
      </c>
      <c r="DW5" t="e">
        <f>AND(PriceComparison!C104,"AAAAAH7/9H4=")</f>
        <v>#VALUE!</v>
      </c>
      <c r="DX5" t="e">
        <f>AND(PriceComparison!F89,"AAAAAH7/9H8=")</f>
        <v>#VALUE!</v>
      </c>
      <c r="DY5" t="e">
        <f>AND(PriceComparison!G89,"AAAAAH7/9IA=")</f>
        <v>#VALUE!</v>
      </c>
      <c r="DZ5" t="e">
        <f>AND(PriceComparison!H89,"AAAAAH7/9IE=")</f>
        <v>#VALUE!</v>
      </c>
      <c r="EA5" t="e">
        <f>AND(PriceComparison!I89,"AAAAAH7/9II=")</f>
        <v>#VALUE!</v>
      </c>
      <c r="EB5" t="e">
        <f>AND(PriceComparison!J89,"AAAAAH7/9IM=")</f>
        <v>#VALUE!</v>
      </c>
      <c r="EC5" t="e">
        <f>AND(PriceComparison!F104,"AAAAAH7/9IQ=")</f>
        <v>#VALUE!</v>
      </c>
      <c r="ED5">
        <f>IF(PriceComparison!90:90,"AAAAAH7/9IU=",0)</f>
        <v>0</v>
      </c>
      <c r="EE5" t="e">
        <f>AND(PriceComparison!A90,"AAAAAH7/9IY=")</f>
        <v>#VALUE!</v>
      </c>
      <c r="EF5" t="e">
        <f>AND(PriceComparison!B90,"AAAAAH7/9Ic=")</f>
        <v>#VALUE!</v>
      </c>
      <c r="EG5" t="e">
        <f>AND(PriceComparison!C90,"AAAAAH7/9Ig=")</f>
        <v>#VALUE!</v>
      </c>
      <c r="EH5" t="e">
        <f>AND(PriceComparison!D90,"AAAAAH7/9Ik=")</f>
        <v>#VALUE!</v>
      </c>
      <c r="EI5" t="e">
        <f>AND(PriceComparison!E90,"AAAAAH7/9Io=")</f>
        <v>#VALUE!</v>
      </c>
      <c r="EJ5" t="e">
        <f>AND(PriceComparison!C105,"AAAAAH7/9Is=")</f>
        <v>#VALUE!</v>
      </c>
      <c r="EK5" t="e">
        <f>AND(PriceComparison!F90,"AAAAAH7/9Iw=")</f>
        <v>#VALUE!</v>
      </c>
      <c r="EL5" t="e">
        <f>AND(PriceComparison!G90,"AAAAAH7/9I0=")</f>
        <v>#VALUE!</v>
      </c>
      <c r="EM5" t="e">
        <f>AND(PriceComparison!H90,"AAAAAH7/9I4=")</f>
        <v>#VALUE!</v>
      </c>
      <c r="EN5" t="e">
        <f>AND(PriceComparison!I90,"AAAAAH7/9I8=")</f>
        <v>#VALUE!</v>
      </c>
      <c r="EO5" t="e">
        <f>AND(PriceComparison!J90,"AAAAAH7/9JA=")</f>
        <v>#VALUE!</v>
      </c>
      <c r="EP5" t="e">
        <f>AND(PriceComparison!F105,"AAAAAH7/9JE=")</f>
        <v>#VALUE!</v>
      </c>
      <c r="EQ5">
        <f>IF(PriceComparison!91:91,"AAAAAH7/9JI=",0)</f>
        <v>0</v>
      </c>
      <c r="ER5" t="e">
        <f>AND(PriceComparison!A91,"AAAAAH7/9JM=")</f>
        <v>#VALUE!</v>
      </c>
      <c r="ES5" t="e">
        <f>AND(PriceComparison!B91,"AAAAAH7/9JQ=")</f>
        <v>#VALUE!</v>
      </c>
      <c r="ET5" t="e">
        <f>AND(PriceComparison!C91,"AAAAAH7/9JU=")</f>
        <v>#VALUE!</v>
      </c>
      <c r="EU5" t="e">
        <f>AND(PriceComparison!D91,"AAAAAH7/9JY=")</f>
        <v>#VALUE!</v>
      </c>
      <c r="EV5" t="e">
        <f>AND(PriceComparison!E91,"AAAAAH7/9Jc=")</f>
        <v>#VALUE!</v>
      </c>
      <c r="EW5" t="e">
        <f>AND(PriceComparison!C106,"AAAAAH7/9Jg=")</f>
        <v>#VALUE!</v>
      </c>
      <c r="EX5" t="e">
        <f>AND(PriceComparison!F91,"AAAAAH7/9Jk=")</f>
        <v>#VALUE!</v>
      </c>
      <c r="EY5" t="e">
        <f>AND(PriceComparison!G91,"AAAAAH7/9Jo=")</f>
        <v>#VALUE!</v>
      </c>
      <c r="EZ5" t="e">
        <f>AND(PriceComparison!H91,"AAAAAH7/9Js=")</f>
        <v>#VALUE!</v>
      </c>
      <c r="FA5" t="e">
        <f>AND(PriceComparison!I91,"AAAAAH7/9Jw=")</f>
        <v>#VALUE!</v>
      </c>
      <c r="FB5" t="e">
        <f>AND(PriceComparison!J91,"AAAAAH7/9J0=")</f>
        <v>#VALUE!</v>
      </c>
      <c r="FC5" t="e">
        <f>AND(PriceComparison!F106,"AAAAAH7/9J4=")</f>
        <v>#VALUE!</v>
      </c>
      <c r="FD5">
        <f>IF(PriceComparison!92:92,"AAAAAH7/9J8=",0)</f>
        <v>0</v>
      </c>
      <c r="FE5" t="e">
        <f>AND(PriceComparison!A92,"AAAAAH7/9KA=")</f>
        <v>#VALUE!</v>
      </c>
      <c r="FF5" t="e">
        <f>AND(PriceComparison!B92,"AAAAAH7/9KE=")</f>
        <v>#VALUE!</v>
      </c>
      <c r="FG5" t="e">
        <f>AND(PriceComparison!C92,"AAAAAH7/9KI=")</f>
        <v>#VALUE!</v>
      </c>
      <c r="FH5" t="e">
        <f>AND(PriceComparison!D92,"AAAAAH7/9KM=")</f>
        <v>#VALUE!</v>
      </c>
      <c r="FI5" t="e">
        <f>AND(PriceComparison!E92,"AAAAAH7/9KQ=")</f>
        <v>#VALUE!</v>
      </c>
      <c r="FJ5" t="e">
        <f>AND(PriceComparison!C107,"AAAAAH7/9KU=")</f>
        <v>#VALUE!</v>
      </c>
      <c r="FK5" t="e">
        <f>AND(PriceComparison!F92,"AAAAAH7/9KY=")</f>
        <v>#VALUE!</v>
      </c>
      <c r="FL5" t="e">
        <f>AND(PriceComparison!G92,"AAAAAH7/9Kc=")</f>
        <v>#VALUE!</v>
      </c>
      <c r="FM5" t="e">
        <f>AND(PriceComparison!H92,"AAAAAH7/9Kg=")</f>
        <v>#VALUE!</v>
      </c>
      <c r="FN5" t="e">
        <f>AND(PriceComparison!I92,"AAAAAH7/9Kk=")</f>
        <v>#VALUE!</v>
      </c>
      <c r="FO5" t="e">
        <f>AND(PriceComparison!J92,"AAAAAH7/9Ko=")</f>
        <v>#VALUE!</v>
      </c>
      <c r="FP5" t="e">
        <f>AND(PriceComparison!F107,"AAAAAH7/9Ks=")</f>
        <v>#VALUE!</v>
      </c>
      <c r="FQ5">
        <f>IF(PriceComparison!93:93,"AAAAAH7/9Kw=",0)</f>
        <v>0</v>
      </c>
      <c r="FR5" t="e">
        <f>AND(PriceComparison!A93,"AAAAAH7/9K0=")</f>
        <v>#VALUE!</v>
      </c>
      <c r="FS5" t="e">
        <f>AND(PriceComparison!B93,"AAAAAH7/9K4=")</f>
        <v>#VALUE!</v>
      </c>
      <c r="FT5" t="e">
        <f>AND(PriceComparison!C93,"AAAAAH7/9K8=")</f>
        <v>#VALUE!</v>
      </c>
      <c r="FU5" t="e">
        <f>AND(PriceComparison!D93,"AAAAAH7/9LA=")</f>
        <v>#VALUE!</v>
      </c>
      <c r="FV5" t="e">
        <f>AND(PriceComparison!E93,"AAAAAH7/9LE=")</f>
        <v>#VALUE!</v>
      </c>
      <c r="FW5" t="e">
        <f>AND(PriceComparison!C108,"AAAAAH7/9LI=")</f>
        <v>#VALUE!</v>
      </c>
      <c r="FX5" t="e">
        <f>AND(PriceComparison!F93,"AAAAAH7/9LM=")</f>
        <v>#VALUE!</v>
      </c>
      <c r="FY5" t="e">
        <f>AND(PriceComparison!G93,"AAAAAH7/9LQ=")</f>
        <v>#VALUE!</v>
      </c>
      <c r="FZ5" t="e">
        <f>AND(PriceComparison!H93,"AAAAAH7/9LU=")</f>
        <v>#VALUE!</v>
      </c>
      <c r="GA5" t="e">
        <f>AND(PriceComparison!I93,"AAAAAH7/9LY=")</f>
        <v>#VALUE!</v>
      </c>
      <c r="GB5" t="e">
        <f>AND(PriceComparison!J93,"AAAAAH7/9Lc=")</f>
        <v>#VALUE!</v>
      </c>
      <c r="GC5" t="e">
        <f>AND(PriceComparison!F108,"AAAAAH7/9Lg=")</f>
        <v>#VALUE!</v>
      </c>
      <c r="GD5">
        <f>IF(PriceComparison!94:94,"AAAAAH7/9Lk=",0)</f>
        <v>0</v>
      </c>
      <c r="GE5" t="e">
        <f>AND(PriceComparison!A94,"AAAAAH7/9Lo=")</f>
        <v>#VALUE!</v>
      </c>
      <c r="GF5" t="e">
        <f>AND(PriceComparison!B94,"AAAAAH7/9Ls=")</f>
        <v>#VALUE!</v>
      </c>
      <c r="GG5" t="e">
        <f>AND(PriceComparison!C94,"AAAAAH7/9Lw=")</f>
        <v>#VALUE!</v>
      </c>
      <c r="GH5" t="e">
        <f>AND(PriceComparison!D94,"AAAAAH7/9L0=")</f>
        <v>#VALUE!</v>
      </c>
      <c r="GI5" t="e">
        <f>AND(PriceComparison!E94,"AAAAAH7/9L4=")</f>
        <v>#VALUE!</v>
      </c>
      <c r="GJ5" t="e">
        <f>AND(PriceComparison!C109,"AAAAAH7/9L8=")</f>
        <v>#VALUE!</v>
      </c>
      <c r="GK5" t="e">
        <f>AND(PriceComparison!F94,"AAAAAH7/9MA=")</f>
        <v>#VALUE!</v>
      </c>
      <c r="GL5" t="e">
        <f>AND(PriceComparison!G94,"AAAAAH7/9ME=")</f>
        <v>#VALUE!</v>
      </c>
      <c r="GM5" t="e">
        <f>AND(PriceComparison!H94,"AAAAAH7/9MI=")</f>
        <v>#VALUE!</v>
      </c>
      <c r="GN5" t="e">
        <f>AND(PriceComparison!I94,"AAAAAH7/9MM=")</f>
        <v>#VALUE!</v>
      </c>
      <c r="GO5" t="e">
        <f>AND(PriceComparison!J94,"AAAAAH7/9MQ=")</f>
        <v>#VALUE!</v>
      </c>
      <c r="GP5" t="e">
        <f>AND(PriceComparison!F109,"AAAAAH7/9MU=")</f>
        <v>#VALUE!</v>
      </c>
      <c r="GQ5">
        <f>IF(PriceComparison!95:95,"AAAAAH7/9MY=",0)</f>
        <v>0</v>
      </c>
      <c r="GR5" t="e">
        <f>AND(PriceComparison!A95,"AAAAAH7/9Mc=")</f>
        <v>#VALUE!</v>
      </c>
      <c r="GS5" t="e">
        <f>AND(PriceComparison!B95,"AAAAAH7/9Mg=")</f>
        <v>#VALUE!</v>
      </c>
      <c r="GT5" t="e">
        <f>AND(PriceComparison!C95,"AAAAAH7/9Mk=")</f>
        <v>#VALUE!</v>
      </c>
      <c r="GU5" t="e">
        <f>AND(PriceComparison!D95,"AAAAAH7/9Mo=")</f>
        <v>#VALUE!</v>
      </c>
      <c r="GV5" t="e">
        <f>AND(PriceComparison!E95,"AAAAAH7/9Ms=")</f>
        <v>#VALUE!</v>
      </c>
      <c r="GW5" t="e">
        <f>AND(PriceComparison!C110,"AAAAAH7/9Mw=")</f>
        <v>#VALUE!</v>
      </c>
      <c r="GX5" t="e">
        <f>AND(PriceComparison!F95,"AAAAAH7/9M0=")</f>
        <v>#VALUE!</v>
      </c>
      <c r="GY5" t="e">
        <f>AND(PriceComparison!G95,"AAAAAH7/9M4=")</f>
        <v>#VALUE!</v>
      </c>
      <c r="GZ5" t="e">
        <f>AND(PriceComparison!H95,"AAAAAH7/9M8=")</f>
        <v>#VALUE!</v>
      </c>
      <c r="HA5" t="e">
        <f>AND(PriceComparison!I95,"AAAAAH7/9NA=")</f>
        <v>#VALUE!</v>
      </c>
      <c r="HB5" t="e">
        <f>AND(PriceComparison!J95,"AAAAAH7/9NE=")</f>
        <v>#VALUE!</v>
      </c>
      <c r="HC5" t="e">
        <f>AND(PriceComparison!F110,"AAAAAH7/9NI=")</f>
        <v>#VALUE!</v>
      </c>
      <c r="HD5">
        <f>IF(PriceComparison!96:96,"AAAAAH7/9NM=",0)</f>
        <v>0</v>
      </c>
      <c r="HE5" t="e">
        <f>AND(PriceComparison!A96,"AAAAAH7/9NQ=")</f>
        <v>#VALUE!</v>
      </c>
      <c r="HF5" t="e">
        <f>AND(PriceComparison!B96,"AAAAAH7/9NU=")</f>
        <v>#VALUE!</v>
      </c>
      <c r="HG5" t="e">
        <f>AND(PriceComparison!C96,"AAAAAH7/9NY=")</f>
        <v>#VALUE!</v>
      </c>
      <c r="HH5" t="e">
        <f>AND(PriceComparison!D96,"AAAAAH7/9Nc=")</f>
        <v>#VALUE!</v>
      </c>
      <c r="HI5" t="e">
        <f>AND(PriceComparison!E96,"AAAAAH7/9Ng=")</f>
        <v>#VALUE!</v>
      </c>
      <c r="HJ5" t="e">
        <f>AND(PriceComparison!C111,"AAAAAH7/9Nk=")</f>
        <v>#VALUE!</v>
      </c>
      <c r="HK5" t="e">
        <f>AND(PriceComparison!F96,"AAAAAH7/9No=")</f>
        <v>#VALUE!</v>
      </c>
      <c r="HL5" t="e">
        <f>AND(PriceComparison!G96,"AAAAAH7/9Ns=")</f>
        <v>#VALUE!</v>
      </c>
      <c r="HM5" t="e">
        <f>AND(PriceComparison!H96,"AAAAAH7/9Nw=")</f>
        <v>#VALUE!</v>
      </c>
      <c r="HN5" t="e">
        <f>AND(PriceComparison!I96,"AAAAAH7/9N0=")</f>
        <v>#VALUE!</v>
      </c>
      <c r="HO5" t="e">
        <f>AND(PriceComparison!J96,"AAAAAH7/9N4=")</f>
        <v>#VALUE!</v>
      </c>
      <c r="HP5" t="e">
        <f>AND(PriceComparison!F111,"AAAAAH7/9N8=")</f>
        <v>#VALUE!</v>
      </c>
      <c r="HQ5">
        <f>IF(PriceComparison!97:97,"AAAAAH7/9OA=",0)</f>
        <v>0</v>
      </c>
      <c r="HR5" t="e">
        <f>AND(PriceComparison!A97,"AAAAAH7/9OE=")</f>
        <v>#VALUE!</v>
      </c>
      <c r="HS5" t="e">
        <f>AND(PriceComparison!B97,"AAAAAH7/9OI=")</f>
        <v>#VALUE!</v>
      </c>
      <c r="HT5" t="e">
        <f>AND(PriceComparison!C97,"AAAAAH7/9OM=")</f>
        <v>#VALUE!</v>
      </c>
      <c r="HU5" t="e">
        <f>AND(PriceComparison!D97,"AAAAAH7/9OQ=")</f>
        <v>#VALUE!</v>
      </c>
      <c r="HV5" t="e">
        <f>AND(PriceComparison!E97,"AAAAAH7/9OU=")</f>
        <v>#VALUE!</v>
      </c>
      <c r="HW5" t="e">
        <f>AND(PriceComparison!F97,"AAAAAH7/9OY=")</f>
        <v>#VALUE!</v>
      </c>
      <c r="HX5" t="e">
        <f>AND(PriceComparison!G97,"AAAAAH7/9Oc=")</f>
        <v>#VALUE!</v>
      </c>
      <c r="HY5" t="e">
        <f>AND(PriceComparison!H97,"AAAAAH7/9Og=")</f>
        <v>#VALUE!</v>
      </c>
      <c r="HZ5" t="e">
        <f>AND(PriceComparison!I97,"AAAAAH7/9Ok=")</f>
        <v>#VALUE!</v>
      </c>
      <c r="IA5" t="e">
        <f>AND(PriceComparison!J97,"AAAAAH7/9Oo=")</f>
        <v>#VALUE!</v>
      </c>
      <c r="IB5" t="e">
        <f>AND(PriceComparison!K97,"AAAAAH7/9Os=")</f>
        <v>#VALUE!</v>
      </c>
      <c r="IC5" t="e">
        <f>AND(PriceComparison!L97,"AAAAAH7/9Ow=")</f>
        <v>#VALUE!</v>
      </c>
      <c r="ID5">
        <f>IF(PriceComparison!98:98,"AAAAAH7/9O0=",0)</f>
        <v>0</v>
      </c>
      <c r="IE5" t="e">
        <f>AND(PriceComparison!A124,"AAAAAH7/9O4=")</f>
        <v>#VALUE!</v>
      </c>
      <c r="IF5" t="e">
        <f>AND(PriceComparison!B124,"AAAAAH7/9O8=")</f>
        <v>#VALUE!</v>
      </c>
      <c r="IG5" t="e">
        <f>AND(PriceComparison!C124,"AAAAAH7/9PA=")</f>
        <v>#VALUE!</v>
      </c>
      <c r="IH5" t="e">
        <f>AND(PriceComparison!D124,"AAAAAH7/9PE=")</f>
        <v>#VALUE!</v>
      </c>
      <c r="II5" t="e">
        <f>AND(PriceComparison!E124,"AAAAAH7/9PI=")</f>
        <v>#VALUE!</v>
      </c>
      <c r="IJ5" t="e">
        <f>AND(PriceComparison!F124,"AAAAAH7/9PM=")</f>
        <v>#VALUE!</v>
      </c>
      <c r="IK5" t="e">
        <f>AND(PriceComparison!G113,"AAAAAH7/9PQ=")</f>
        <v>#VALUE!</v>
      </c>
      <c r="IL5" t="e">
        <f>AND(PriceComparison!#REF!,"AAAAAH7/9PU=")</f>
        <v>#REF!</v>
      </c>
      <c r="IM5" t="e">
        <f>AND(PriceComparison!I98,"AAAAAH7/9PY=")</f>
        <v>#VALUE!</v>
      </c>
      <c r="IN5" t="e">
        <f>AND(PriceComparison!J98,"AAAAAH7/9Pc=")</f>
        <v>#VALUE!</v>
      </c>
      <c r="IO5" t="e">
        <f>AND(PriceComparison!K98,"AAAAAH7/9Pg=")</f>
        <v>#VALUE!</v>
      </c>
      <c r="IP5" t="e">
        <f>AND(PriceComparison!L98,"AAAAAH7/9Pk=")</f>
        <v>#VALUE!</v>
      </c>
      <c r="IQ5">
        <f>IF(PriceComparison!99:99,"AAAAAH7/9Po=",0)</f>
        <v>0</v>
      </c>
      <c r="IR5" t="e">
        <f>AND(PriceComparison!A125,"AAAAAH7/9Ps=")</f>
        <v>#VALUE!</v>
      </c>
      <c r="IS5" t="e">
        <f>AND(PriceComparison!B125,"AAAAAH7/9Pw=")</f>
        <v>#VALUE!</v>
      </c>
      <c r="IT5" t="e">
        <f>AND(PriceComparison!C125,"AAAAAH7/9P0=")</f>
        <v>#VALUE!</v>
      </c>
      <c r="IU5" t="e">
        <f>AND(PriceComparison!D125,"AAAAAH7/9P4=")</f>
        <v>#VALUE!</v>
      </c>
      <c r="IV5" t="e">
        <f>AND(PriceComparison!E125,"AAAAAH7/9P8=")</f>
        <v>#VALUE!</v>
      </c>
    </row>
    <row r="6" spans="1:256" x14ac:dyDescent="0.25">
      <c r="A6" t="e">
        <f>AND(PriceComparison!F125,"AAAAAH+7vwA=")</f>
        <v>#VALUE!</v>
      </c>
      <c r="B6" t="e">
        <f>AND(PriceComparison!G114,"AAAAAH+7vwE=")</f>
        <v>#VALUE!</v>
      </c>
      <c r="C6" t="e">
        <f>AND(PriceComparison!#REF!,"AAAAAH+7vwI=")</f>
        <v>#REF!</v>
      </c>
      <c r="D6" t="e">
        <f>AND(PriceComparison!I99,"AAAAAH+7vwM=")</f>
        <v>#VALUE!</v>
      </c>
      <c r="E6" t="e">
        <f>AND(PriceComparison!J99,"AAAAAH+7vwQ=")</f>
        <v>#VALUE!</v>
      </c>
      <c r="F6" t="e">
        <f>AND(PriceComparison!K99,"AAAAAH+7vwU=")</f>
        <v>#VALUE!</v>
      </c>
      <c r="G6" t="e">
        <f>AND(PriceComparison!L99,"AAAAAH+7vwY=")</f>
        <v>#VALUE!</v>
      </c>
      <c r="H6">
        <f>IF(PriceComparison!100:100,"AAAAAH+7vwc=",0)</f>
        <v>0</v>
      </c>
      <c r="I6" t="e">
        <f>AND(PriceComparison!A126,"AAAAAH+7vwg=")</f>
        <v>#VALUE!</v>
      </c>
      <c r="J6" t="e">
        <f>AND(PriceComparison!B126,"AAAAAH+7vwk=")</f>
        <v>#VALUE!</v>
      </c>
      <c r="K6" t="e">
        <f>AND(PriceComparison!C126,"AAAAAH+7vwo=")</f>
        <v>#VALUE!</v>
      </c>
      <c r="L6" t="e">
        <f>AND(PriceComparison!D126,"AAAAAH+7vws=")</f>
        <v>#VALUE!</v>
      </c>
      <c r="M6" t="e">
        <f>AND(PriceComparison!E126,"AAAAAH+7vww=")</f>
        <v>#VALUE!</v>
      </c>
      <c r="N6" t="e">
        <f>AND(PriceComparison!F126,"AAAAAH+7vw0=")</f>
        <v>#VALUE!</v>
      </c>
      <c r="O6" t="e">
        <f>AND(PriceComparison!G115,"AAAAAH+7vw4=")</f>
        <v>#VALUE!</v>
      </c>
      <c r="P6" t="e">
        <f>AND(PriceComparison!#REF!,"AAAAAH+7vw8=")</f>
        <v>#REF!</v>
      </c>
      <c r="Q6" t="e">
        <f>AND(PriceComparison!I100,"AAAAAH+7vxA=")</f>
        <v>#VALUE!</v>
      </c>
      <c r="R6" t="e">
        <f>AND(PriceComparison!J100,"AAAAAH+7vxE=")</f>
        <v>#VALUE!</v>
      </c>
      <c r="S6" t="e">
        <f>AND(PriceComparison!K100,"AAAAAH+7vxI=")</f>
        <v>#VALUE!</v>
      </c>
      <c r="T6" t="e">
        <f>AND(PriceComparison!L100,"AAAAAH+7vxM=")</f>
        <v>#VALUE!</v>
      </c>
      <c r="U6">
        <f>IF(PriceComparison!101:101,"AAAAAH+7vxQ=",0)</f>
        <v>0</v>
      </c>
      <c r="V6" t="e">
        <f>AND(PriceComparison!A127,"AAAAAH+7vxU=")</f>
        <v>#VALUE!</v>
      </c>
      <c r="W6" t="e">
        <f>AND(PriceComparison!B127,"AAAAAH+7vxY=")</f>
        <v>#VALUE!</v>
      </c>
      <c r="X6" t="e">
        <f>AND(PriceComparison!C127,"AAAAAH+7vxc=")</f>
        <v>#VALUE!</v>
      </c>
      <c r="Y6" t="e">
        <f>AND(PriceComparison!D127,"AAAAAH+7vxg=")</f>
        <v>#VALUE!</v>
      </c>
      <c r="Z6" t="e">
        <f>AND(PriceComparison!E127,"AAAAAH+7vxk=")</f>
        <v>#VALUE!</v>
      </c>
      <c r="AA6" t="e">
        <f>AND(PriceComparison!F127,"AAAAAH+7vxo=")</f>
        <v>#VALUE!</v>
      </c>
      <c r="AB6" t="e">
        <f>AND(PriceComparison!G116,"AAAAAH+7vxs=")</f>
        <v>#VALUE!</v>
      </c>
      <c r="AC6" t="e">
        <f>AND(PriceComparison!#REF!,"AAAAAH+7vxw=")</f>
        <v>#REF!</v>
      </c>
      <c r="AD6" t="e">
        <f>AND(PriceComparison!I101,"AAAAAH+7vx0=")</f>
        <v>#VALUE!</v>
      </c>
      <c r="AE6" t="e">
        <f>AND(PriceComparison!J101,"AAAAAH+7vx4=")</f>
        <v>#VALUE!</v>
      </c>
      <c r="AF6" t="e">
        <f>AND(PriceComparison!K101,"AAAAAH+7vx8=")</f>
        <v>#VALUE!</v>
      </c>
      <c r="AG6" t="e">
        <f>AND(PriceComparison!L101,"AAAAAH+7vyA=")</f>
        <v>#VALUE!</v>
      </c>
      <c r="AH6">
        <f>IF(PriceComparison!102:102,"AAAAAH+7vyE=",0)</f>
        <v>0</v>
      </c>
      <c r="AI6" t="e">
        <f>AND(PriceComparison!A128,"AAAAAH+7vyI=")</f>
        <v>#VALUE!</v>
      </c>
      <c r="AJ6" t="e">
        <f>AND(PriceComparison!B128,"AAAAAH+7vyM=")</f>
        <v>#VALUE!</v>
      </c>
      <c r="AK6" t="e">
        <f>AND(PriceComparison!C128,"AAAAAH+7vyQ=")</f>
        <v>#VALUE!</v>
      </c>
      <c r="AL6" t="e">
        <f>AND(PriceComparison!D128,"AAAAAH+7vyU=")</f>
        <v>#VALUE!</v>
      </c>
      <c r="AM6" t="e">
        <f>AND(PriceComparison!E128,"AAAAAH+7vyY=")</f>
        <v>#VALUE!</v>
      </c>
      <c r="AN6" t="e">
        <f>AND(PriceComparison!F128,"AAAAAH+7vyc=")</f>
        <v>#VALUE!</v>
      </c>
      <c r="AO6" t="e">
        <f>AND(PriceComparison!G117,"AAAAAH+7vyg=")</f>
        <v>#VALUE!</v>
      </c>
      <c r="AP6" t="e">
        <f>AND(PriceComparison!#REF!,"AAAAAH+7vyk=")</f>
        <v>#REF!</v>
      </c>
      <c r="AQ6" t="e">
        <f>AND(PriceComparison!I102,"AAAAAH+7vyo=")</f>
        <v>#VALUE!</v>
      </c>
      <c r="AR6" t="e">
        <f>AND(PriceComparison!J102,"AAAAAH+7vys=")</f>
        <v>#VALUE!</v>
      </c>
      <c r="AS6" t="e">
        <f>AND(PriceComparison!K102,"AAAAAH+7vyw=")</f>
        <v>#VALUE!</v>
      </c>
      <c r="AT6" t="e">
        <f>AND(PriceComparison!L102,"AAAAAH+7vy0=")</f>
        <v>#VALUE!</v>
      </c>
      <c r="AU6">
        <f>IF(PriceComparison!103:103,"AAAAAH+7vy4=",0)</f>
        <v>0</v>
      </c>
      <c r="AV6" t="e">
        <f>AND(PriceComparison!A129,"AAAAAH+7vy8=")</f>
        <v>#VALUE!</v>
      </c>
      <c r="AW6" t="e">
        <f>AND(PriceComparison!B129,"AAAAAH+7vzA=")</f>
        <v>#VALUE!</v>
      </c>
      <c r="AX6" t="e">
        <f>AND(PriceComparison!C129,"AAAAAH+7vzE=")</f>
        <v>#VALUE!</v>
      </c>
      <c r="AY6" t="e">
        <f>AND(PriceComparison!D129,"AAAAAH+7vzI=")</f>
        <v>#VALUE!</v>
      </c>
      <c r="AZ6" t="e">
        <f>AND(PriceComparison!E129,"AAAAAH+7vzM=")</f>
        <v>#VALUE!</v>
      </c>
      <c r="BA6" t="e">
        <f>AND(PriceComparison!F129,"AAAAAH+7vzQ=")</f>
        <v>#VALUE!</v>
      </c>
      <c r="BB6" t="e">
        <f>AND(PriceComparison!G118,"AAAAAH+7vzU=")</f>
        <v>#VALUE!</v>
      </c>
      <c r="BC6" t="e">
        <f>AND(PriceComparison!#REF!,"AAAAAH+7vzY=")</f>
        <v>#REF!</v>
      </c>
      <c r="BD6" t="e">
        <f>AND(PriceComparison!I103,"AAAAAH+7vzc=")</f>
        <v>#VALUE!</v>
      </c>
      <c r="BE6" t="e">
        <f>AND(PriceComparison!J103,"AAAAAH+7vzg=")</f>
        <v>#VALUE!</v>
      </c>
      <c r="BF6" t="e">
        <f>AND(PriceComparison!K103,"AAAAAH+7vzk=")</f>
        <v>#VALUE!</v>
      </c>
      <c r="BG6" t="e">
        <f>AND(PriceComparison!L103,"AAAAAH+7vzo=")</f>
        <v>#VALUE!</v>
      </c>
      <c r="BH6">
        <f>IF(PriceComparison!104:104,"AAAAAH+7vzs=",0)</f>
        <v>0</v>
      </c>
      <c r="BI6" t="e">
        <f>AND(PriceComparison!A130,"AAAAAH+7vzw=")</f>
        <v>#VALUE!</v>
      </c>
      <c r="BJ6" t="e">
        <f>AND(PriceComparison!B130,"AAAAAH+7vz0=")</f>
        <v>#VALUE!</v>
      </c>
      <c r="BK6" t="e">
        <f>AND(PriceComparison!C130,"AAAAAH+7vz4=")</f>
        <v>#VALUE!</v>
      </c>
      <c r="BL6" t="e">
        <f>AND(PriceComparison!D130,"AAAAAH+7vz8=")</f>
        <v>#VALUE!</v>
      </c>
      <c r="BM6" t="e">
        <f>AND(PriceComparison!E130,"AAAAAH+7v0A=")</f>
        <v>#VALUE!</v>
      </c>
      <c r="BN6" t="e">
        <f>AND(PriceComparison!F130,"AAAAAH+7v0E=")</f>
        <v>#VALUE!</v>
      </c>
      <c r="BO6" t="e">
        <f>AND(PriceComparison!G119,"AAAAAH+7v0I=")</f>
        <v>#VALUE!</v>
      </c>
      <c r="BP6" t="e">
        <f>AND(PriceComparison!#REF!,"AAAAAH+7v0M=")</f>
        <v>#REF!</v>
      </c>
      <c r="BQ6" t="e">
        <f>AND(PriceComparison!I104,"AAAAAH+7v0Q=")</f>
        <v>#VALUE!</v>
      </c>
      <c r="BR6" t="e">
        <f>AND(PriceComparison!J104,"AAAAAH+7v0U=")</f>
        <v>#VALUE!</v>
      </c>
      <c r="BS6" t="e">
        <f>AND(PriceComparison!K104,"AAAAAH+7v0Y=")</f>
        <v>#VALUE!</v>
      </c>
      <c r="BT6" t="e">
        <f>AND(PriceComparison!L104,"AAAAAH+7v0c=")</f>
        <v>#VALUE!</v>
      </c>
      <c r="BU6">
        <f>IF(PriceComparison!105:105,"AAAAAH+7v0g=",0)</f>
        <v>0</v>
      </c>
      <c r="BV6" t="e">
        <f>AND(PriceComparison!A131,"AAAAAH+7v0k=")</f>
        <v>#VALUE!</v>
      </c>
      <c r="BW6" t="e">
        <f>AND(PriceComparison!B131,"AAAAAH+7v0o=")</f>
        <v>#VALUE!</v>
      </c>
      <c r="BX6" t="e">
        <f>AND(PriceComparison!C131,"AAAAAH+7v0s=")</f>
        <v>#VALUE!</v>
      </c>
      <c r="BY6" t="e">
        <f>AND(PriceComparison!D131,"AAAAAH+7v0w=")</f>
        <v>#VALUE!</v>
      </c>
      <c r="BZ6" t="e">
        <f>AND(PriceComparison!E131,"AAAAAH+7v00=")</f>
        <v>#VALUE!</v>
      </c>
      <c r="CA6" t="e">
        <f>AND(PriceComparison!F131,"AAAAAH+7v04=")</f>
        <v>#VALUE!</v>
      </c>
      <c r="CB6" t="e">
        <f>AND(PriceComparison!G120,"AAAAAH+7v08=")</f>
        <v>#VALUE!</v>
      </c>
      <c r="CC6" t="e">
        <f>AND(PriceComparison!#REF!,"AAAAAH+7v1A=")</f>
        <v>#REF!</v>
      </c>
      <c r="CD6" t="e">
        <f>AND(PriceComparison!I105,"AAAAAH+7v1E=")</f>
        <v>#VALUE!</v>
      </c>
      <c r="CE6" t="e">
        <f>AND(PriceComparison!J105,"AAAAAH+7v1I=")</f>
        <v>#VALUE!</v>
      </c>
      <c r="CF6" t="e">
        <f>AND(PriceComparison!K105,"AAAAAH+7v1M=")</f>
        <v>#VALUE!</v>
      </c>
      <c r="CG6" t="e">
        <f>AND(PriceComparison!L105,"AAAAAH+7v1Q=")</f>
        <v>#VALUE!</v>
      </c>
      <c r="CH6">
        <f>IF(PriceComparison!106:106,"AAAAAH+7v1U=",0)</f>
        <v>0</v>
      </c>
      <c r="CI6" t="e">
        <f>AND(PriceComparison!A132,"AAAAAH+7v1Y=")</f>
        <v>#VALUE!</v>
      </c>
      <c r="CJ6" t="e">
        <f>AND(PriceComparison!B132,"AAAAAH+7v1c=")</f>
        <v>#VALUE!</v>
      </c>
      <c r="CK6" t="e">
        <f>AND(PriceComparison!C132,"AAAAAH+7v1g=")</f>
        <v>#VALUE!</v>
      </c>
      <c r="CL6" t="e">
        <f>AND(PriceComparison!D132,"AAAAAH+7v1k=")</f>
        <v>#VALUE!</v>
      </c>
      <c r="CM6" t="e">
        <f>AND(PriceComparison!E132,"AAAAAH+7v1o=")</f>
        <v>#VALUE!</v>
      </c>
      <c r="CN6" t="e">
        <f>AND(PriceComparison!F132,"AAAAAH+7v1s=")</f>
        <v>#VALUE!</v>
      </c>
      <c r="CO6" t="e">
        <f>AND(PriceComparison!G121,"AAAAAH+7v1w=")</f>
        <v>#VALUE!</v>
      </c>
      <c r="CP6" t="e">
        <f>AND(PriceComparison!#REF!,"AAAAAH+7v10=")</f>
        <v>#REF!</v>
      </c>
      <c r="CQ6" t="e">
        <f>AND(PriceComparison!I106,"AAAAAH+7v14=")</f>
        <v>#VALUE!</v>
      </c>
      <c r="CR6" t="e">
        <f>AND(PriceComparison!J106,"AAAAAH+7v18=")</f>
        <v>#VALUE!</v>
      </c>
      <c r="CS6" t="e">
        <f>AND(PriceComparison!K106,"AAAAAH+7v2A=")</f>
        <v>#VALUE!</v>
      </c>
      <c r="CT6" t="e">
        <f>AND(PriceComparison!L106,"AAAAAH+7v2E=")</f>
        <v>#VALUE!</v>
      </c>
      <c r="CU6">
        <f>IF(PriceComparison!107:107,"AAAAAH+7v2I=",0)</f>
        <v>0</v>
      </c>
      <c r="CV6" t="e">
        <f>AND(PriceComparison!A133,"AAAAAH+7v2M=")</f>
        <v>#VALUE!</v>
      </c>
      <c r="CW6" t="e">
        <f>AND(PriceComparison!B133,"AAAAAH+7v2Q=")</f>
        <v>#VALUE!</v>
      </c>
      <c r="CX6" t="e">
        <f>AND(PriceComparison!C133,"AAAAAH+7v2U=")</f>
        <v>#VALUE!</v>
      </c>
      <c r="CY6" t="e">
        <f>AND(PriceComparison!D133,"AAAAAH+7v2Y=")</f>
        <v>#VALUE!</v>
      </c>
      <c r="CZ6" t="e">
        <f>AND(PriceComparison!E133,"AAAAAH+7v2c=")</f>
        <v>#VALUE!</v>
      </c>
      <c r="DA6" t="e">
        <f>AND(PriceComparison!F133,"AAAAAH+7v2g=")</f>
        <v>#VALUE!</v>
      </c>
      <c r="DB6" t="e">
        <f>AND(PriceComparison!G122,"AAAAAH+7v2k=")</f>
        <v>#VALUE!</v>
      </c>
      <c r="DC6" t="e">
        <f>AND(PriceComparison!#REF!,"AAAAAH+7v2o=")</f>
        <v>#REF!</v>
      </c>
      <c r="DD6" t="e">
        <f>AND(PriceComparison!I107,"AAAAAH+7v2s=")</f>
        <v>#VALUE!</v>
      </c>
      <c r="DE6" t="e">
        <f>AND(PriceComparison!J107,"AAAAAH+7v2w=")</f>
        <v>#VALUE!</v>
      </c>
      <c r="DF6" t="e">
        <f>AND(PriceComparison!K107,"AAAAAH+7v20=")</f>
        <v>#VALUE!</v>
      </c>
      <c r="DG6" t="e">
        <f>AND(PriceComparison!L107,"AAAAAH+7v24=")</f>
        <v>#VALUE!</v>
      </c>
      <c r="DH6">
        <f>IF(PriceComparison!108:108,"AAAAAH+7v28=",0)</f>
        <v>0</v>
      </c>
      <c r="DI6" t="e">
        <f>AND(PriceComparison!#REF!,"AAAAAH+7v3A=")</f>
        <v>#REF!</v>
      </c>
      <c r="DJ6" t="e">
        <f>AND(PriceComparison!#REF!,"AAAAAH+7v3E=")</f>
        <v>#REF!</v>
      </c>
      <c r="DK6" t="e">
        <f>AND(PriceComparison!#REF!,"AAAAAH+7v3I=")</f>
        <v>#REF!</v>
      </c>
      <c r="DL6" t="e">
        <f>AND(PriceComparison!#REF!,"AAAAAH+7v3M=")</f>
        <v>#REF!</v>
      </c>
      <c r="DM6" t="e">
        <f>AND(PriceComparison!#REF!,"AAAAAH+7v3Q=")</f>
        <v>#REF!</v>
      </c>
      <c r="DN6" t="e">
        <f>AND(PriceComparison!#REF!,"AAAAAH+7v3U=")</f>
        <v>#REF!</v>
      </c>
      <c r="DO6" t="e">
        <f>AND(PriceComparison!G123,"AAAAAH+7v3Y=")</f>
        <v>#VALUE!</v>
      </c>
      <c r="DP6" t="e">
        <f>AND(PriceComparison!#REF!,"AAAAAH+7v3c=")</f>
        <v>#REF!</v>
      </c>
      <c r="DQ6" t="e">
        <f>AND(PriceComparison!I108,"AAAAAH+7v3g=")</f>
        <v>#VALUE!</v>
      </c>
      <c r="DR6" t="e">
        <f>AND(PriceComparison!J108,"AAAAAH+7v3k=")</f>
        <v>#VALUE!</v>
      </c>
      <c r="DS6" t="e">
        <f>AND(PriceComparison!K108,"AAAAAH+7v3o=")</f>
        <v>#VALUE!</v>
      </c>
      <c r="DT6" t="e">
        <f>AND(PriceComparison!L108,"AAAAAH+7v3s=")</f>
        <v>#VALUE!</v>
      </c>
      <c r="DU6">
        <f>IF(PriceComparison!109:109,"AAAAAH+7v3w=",0)</f>
        <v>0</v>
      </c>
      <c r="DV6" t="e">
        <f>AND(PriceComparison!A113,"AAAAAH+7v30=")</f>
        <v>#VALUE!</v>
      </c>
      <c r="DW6" t="e">
        <f>AND(PriceComparison!B113,"AAAAAH+7v34=")</f>
        <v>#VALUE!</v>
      </c>
      <c r="DX6" t="e">
        <f>AND(PriceComparison!C113,"AAAAAH+7v38=")</f>
        <v>#VALUE!</v>
      </c>
      <c r="DY6" t="e">
        <f>AND(PriceComparison!D113,"AAAAAH+7v4A=")</f>
        <v>#VALUE!</v>
      </c>
      <c r="DZ6" t="e">
        <f>AND(PriceComparison!E113,"AAAAAH+7v4E=")</f>
        <v>#VALUE!</v>
      </c>
      <c r="EA6" t="e">
        <f>AND(PriceComparison!F113,"AAAAAH+7v4I=")</f>
        <v>#VALUE!</v>
      </c>
      <c r="EB6" t="e">
        <f>AND(PriceComparison!G124,"AAAAAH+7v4M=")</f>
        <v>#VALUE!</v>
      </c>
      <c r="EC6" t="e">
        <f>AND(PriceComparison!#REF!,"AAAAAH+7v4Q=")</f>
        <v>#REF!</v>
      </c>
      <c r="ED6" t="e">
        <f>AND(PriceComparison!I109,"AAAAAH+7v4U=")</f>
        <v>#VALUE!</v>
      </c>
      <c r="EE6" t="e">
        <f>AND(PriceComparison!J109,"AAAAAH+7v4Y=")</f>
        <v>#VALUE!</v>
      </c>
      <c r="EF6" t="e">
        <f>AND(PriceComparison!K109,"AAAAAH+7v4c=")</f>
        <v>#VALUE!</v>
      </c>
      <c r="EG6" t="e">
        <f>AND(PriceComparison!L109,"AAAAAH+7v4g=")</f>
        <v>#VALUE!</v>
      </c>
      <c r="EH6">
        <f>IF(PriceComparison!110:110,"AAAAAH+7v4k=",0)</f>
        <v>0</v>
      </c>
      <c r="EI6" t="e">
        <f>AND(PriceComparison!A114,"AAAAAH+7v4o=")</f>
        <v>#VALUE!</v>
      </c>
      <c r="EJ6" t="e">
        <f>AND(PriceComparison!B114,"AAAAAH+7v4s=")</f>
        <v>#VALUE!</v>
      </c>
      <c r="EK6" t="e">
        <f>AND(PriceComparison!C114,"AAAAAH+7v4w=")</f>
        <v>#VALUE!</v>
      </c>
      <c r="EL6" t="e">
        <f>AND(PriceComparison!D114,"AAAAAH+7v40=")</f>
        <v>#VALUE!</v>
      </c>
      <c r="EM6" t="e">
        <f>AND(PriceComparison!E114,"AAAAAH+7v44=")</f>
        <v>#VALUE!</v>
      </c>
      <c r="EN6" t="e">
        <f>AND(PriceComparison!F114,"AAAAAH+7v48=")</f>
        <v>#VALUE!</v>
      </c>
      <c r="EO6" t="e">
        <f>AND(PriceComparison!G125,"AAAAAH+7v5A=")</f>
        <v>#VALUE!</v>
      </c>
      <c r="EP6" t="e">
        <f>AND(PriceComparison!#REF!,"AAAAAH+7v5E=")</f>
        <v>#REF!</v>
      </c>
      <c r="EQ6" t="e">
        <f>AND(PriceComparison!I110,"AAAAAH+7v5I=")</f>
        <v>#VALUE!</v>
      </c>
      <c r="ER6" t="e">
        <f>AND(PriceComparison!J110,"AAAAAH+7v5M=")</f>
        <v>#VALUE!</v>
      </c>
      <c r="ES6" t="e">
        <f>AND(PriceComparison!K110,"AAAAAH+7v5Q=")</f>
        <v>#VALUE!</v>
      </c>
      <c r="ET6" t="e">
        <f>AND(PriceComparison!L110,"AAAAAH+7v5U=")</f>
        <v>#VALUE!</v>
      </c>
      <c r="EU6">
        <f>IF(PriceComparison!111:111,"AAAAAH+7v5Y=",0)</f>
        <v>0</v>
      </c>
      <c r="EV6" t="e">
        <f>AND(PriceComparison!A115,"AAAAAH+7v5c=")</f>
        <v>#VALUE!</v>
      </c>
      <c r="EW6" t="e">
        <f>AND(PriceComparison!B115,"AAAAAH+7v5g=")</f>
        <v>#VALUE!</v>
      </c>
      <c r="EX6" t="e">
        <f>AND(PriceComparison!C115,"AAAAAH+7v5k=")</f>
        <v>#VALUE!</v>
      </c>
      <c r="EY6" t="e">
        <f>AND(PriceComparison!D115,"AAAAAH+7v5o=")</f>
        <v>#VALUE!</v>
      </c>
      <c r="EZ6" t="e">
        <f>AND(PriceComparison!E115,"AAAAAH+7v5s=")</f>
        <v>#VALUE!</v>
      </c>
      <c r="FA6" t="e">
        <f>AND(PriceComparison!F115,"AAAAAH+7v5w=")</f>
        <v>#VALUE!</v>
      </c>
      <c r="FB6" t="e">
        <f>AND(PriceComparison!G126,"AAAAAH+7v50=")</f>
        <v>#VALUE!</v>
      </c>
      <c r="FC6" t="e">
        <f>AND(PriceComparison!#REF!,"AAAAAH+7v54=")</f>
        <v>#REF!</v>
      </c>
      <c r="FD6" t="e">
        <f>AND(PriceComparison!I111,"AAAAAH+7v58=")</f>
        <v>#VALUE!</v>
      </c>
      <c r="FE6" t="e">
        <f>AND(PriceComparison!J111,"AAAAAH+7v6A=")</f>
        <v>#VALUE!</v>
      </c>
      <c r="FF6" t="e">
        <f>AND(PriceComparison!K111,"AAAAAH+7v6E=")</f>
        <v>#VALUE!</v>
      </c>
      <c r="FG6" t="e">
        <f>AND(PriceComparison!L111,"AAAAAH+7v6I=")</f>
        <v>#VALUE!</v>
      </c>
      <c r="FH6">
        <f>IF(PriceComparison!112:112,"AAAAAH+7v6M=",0)</f>
        <v>0</v>
      </c>
      <c r="FI6" t="e">
        <f>AND(PriceComparison!A116,"AAAAAH+7v6Q=")</f>
        <v>#VALUE!</v>
      </c>
      <c r="FJ6" t="e">
        <f>AND(PriceComparison!B116,"AAAAAH+7v6U=")</f>
        <v>#VALUE!</v>
      </c>
      <c r="FK6" t="e">
        <f>AND(PriceComparison!C116,"AAAAAH+7v6Y=")</f>
        <v>#VALUE!</v>
      </c>
      <c r="FL6" t="e">
        <f>AND(PriceComparison!D116,"AAAAAH+7v6c=")</f>
        <v>#VALUE!</v>
      </c>
      <c r="FM6" t="e">
        <f>AND(PriceComparison!E116,"AAAAAH+7v6g=")</f>
        <v>#VALUE!</v>
      </c>
      <c r="FN6" t="e">
        <f>AND(PriceComparison!F116,"AAAAAH+7v6k=")</f>
        <v>#VALUE!</v>
      </c>
      <c r="FO6" t="e">
        <f>AND(PriceComparison!G127,"AAAAAH+7v6o=")</f>
        <v>#VALUE!</v>
      </c>
      <c r="FP6" t="e">
        <f>AND(PriceComparison!H112,"AAAAAH+7v6s=")</f>
        <v>#VALUE!</v>
      </c>
      <c r="FQ6" t="e">
        <f>AND(PriceComparison!I112,"AAAAAH+7v6w=")</f>
        <v>#VALUE!</v>
      </c>
      <c r="FR6" t="e">
        <f>AND(PriceComparison!J112,"AAAAAH+7v60=")</f>
        <v>#VALUE!</v>
      </c>
      <c r="FS6" t="e">
        <f>AND(PriceComparison!K112,"AAAAAH+7v64=")</f>
        <v>#VALUE!</v>
      </c>
      <c r="FT6" t="e">
        <f>AND(PriceComparison!L112,"AAAAAH+7v68=")</f>
        <v>#VALUE!</v>
      </c>
      <c r="FU6">
        <f>IF(PriceComparison!113:113,"AAAAAH+7v7A=",0)</f>
        <v>0</v>
      </c>
      <c r="FV6" t="e">
        <f>AND(PriceComparison!A117,"AAAAAH+7v7E=")</f>
        <v>#VALUE!</v>
      </c>
      <c r="FW6" t="e">
        <f>AND(PriceComparison!B117,"AAAAAH+7v7I=")</f>
        <v>#VALUE!</v>
      </c>
      <c r="FX6" t="e">
        <f>AND(PriceComparison!C117,"AAAAAH+7v7M=")</f>
        <v>#VALUE!</v>
      </c>
      <c r="FY6" t="e">
        <f>AND(PriceComparison!D117,"AAAAAH+7v7Q=")</f>
        <v>#VALUE!</v>
      </c>
      <c r="FZ6" t="e">
        <f>AND(PriceComparison!E117,"AAAAAH+7v7U=")</f>
        <v>#VALUE!</v>
      </c>
      <c r="GA6">
        <f>IF(PriceComparison!114:114,"AAAAAH+7v7Y=",0)</f>
        <v>0</v>
      </c>
      <c r="GB6" t="e">
        <f>AND(PriceComparison!A118,"AAAAAH+7v7c=")</f>
        <v>#VALUE!</v>
      </c>
      <c r="GC6" t="e">
        <f>AND(PriceComparison!B118,"AAAAAH+7v7g=")</f>
        <v>#VALUE!</v>
      </c>
      <c r="GD6" t="e">
        <f>AND(PriceComparison!C118,"AAAAAH+7v7k=")</f>
        <v>#VALUE!</v>
      </c>
      <c r="GE6" t="e">
        <f>AND(PriceComparison!D118,"AAAAAH+7v7o=")</f>
        <v>#VALUE!</v>
      </c>
      <c r="GF6" t="e">
        <f>AND(PriceComparison!E118,"AAAAAH+7v7s=")</f>
        <v>#VALUE!</v>
      </c>
      <c r="GG6">
        <f>IF(PriceComparison!115:115,"AAAAAH+7v7w=",0)</f>
        <v>0</v>
      </c>
      <c r="GH6" t="e">
        <f>AND(PriceComparison!A119,"AAAAAH+7v70=")</f>
        <v>#VALUE!</v>
      </c>
      <c r="GI6" t="e">
        <f>AND(PriceComparison!B119,"AAAAAH+7v74=")</f>
        <v>#VALUE!</v>
      </c>
      <c r="GJ6" t="e">
        <f>AND(PriceComparison!C119,"AAAAAH+7v78=")</f>
        <v>#VALUE!</v>
      </c>
      <c r="GK6" t="e">
        <f>AND(PriceComparison!D119,"AAAAAH+7v8A=")</f>
        <v>#VALUE!</v>
      </c>
      <c r="GL6" t="e">
        <f>AND(PriceComparison!E119,"AAAAAH+7v8E=")</f>
        <v>#VALUE!</v>
      </c>
      <c r="GM6">
        <f>IF(PriceComparison!116:116,"AAAAAH+7v8I=",0)</f>
        <v>0</v>
      </c>
      <c r="GN6" t="e">
        <f>AND(PriceComparison!A120,"AAAAAH+7v8M=")</f>
        <v>#VALUE!</v>
      </c>
      <c r="GO6" t="e">
        <f>AND(PriceComparison!B120,"AAAAAH+7v8Q=")</f>
        <v>#VALUE!</v>
      </c>
      <c r="GP6" t="e">
        <f>AND(PriceComparison!C120,"AAAAAH+7v8U=")</f>
        <v>#VALUE!</v>
      </c>
      <c r="GQ6" t="e">
        <f>AND(PriceComparison!D120,"AAAAAH+7v8Y=")</f>
        <v>#VALUE!</v>
      </c>
      <c r="GR6" t="e">
        <f>AND(PriceComparison!E120,"AAAAAH+7v8c=")</f>
        <v>#VALUE!</v>
      </c>
      <c r="GS6">
        <f>IF(PriceComparison!117:117,"AAAAAH+7v8g=",0)</f>
        <v>0</v>
      </c>
      <c r="GT6" t="e">
        <f>AND(PriceComparison!A121,"AAAAAH+7v8k=")</f>
        <v>#VALUE!</v>
      </c>
      <c r="GU6" t="e">
        <f>AND(PriceComparison!B121,"AAAAAH+7v8o=")</f>
        <v>#VALUE!</v>
      </c>
      <c r="GV6" t="e">
        <f>AND(PriceComparison!C121,"AAAAAH+7v8s=")</f>
        <v>#VALUE!</v>
      </c>
      <c r="GW6" t="e">
        <f>AND(PriceComparison!D121,"AAAAAH+7v8w=")</f>
        <v>#VALUE!</v>
      </c>
      <c r="GX6" t="e">
        <f>AND(PriceComparison!E121,"AAAAAH+7v80=")</f>
        <v>#VALUE!</v>
      </c>
      <c r="GY6">
        <f>IF(PriceComparison!118:118,"AAAAAH+7v84=",0)</f>
        <v>0</v>
      </c>
      <c r="GZ6" t="e">
        <f>AND(PriceComparison!A122,"AAAAAH+7v88=")</f>
        <v>#VALUE!</v>
      </c>
      <c r="HA6" t="e">
        <f>AND(PriceComparison!B122,"AAAAAH+7v9A=")</f>
        <v>#VALUE!</v>
      </c>
      <c r="HB6" t="e">
        <f>AND(PriceComparison!C122,"AAAAAH+7v9E=")</f>
        <v>#VALUE!</v>
      </c>
      <c r="HC6" t="e">
        <f>AND(PriceComparison!D122,"AAAAAH+7v9I=")</f>
        <v>#VALUE!</v>
      </c>
      <c r="HD6" t="e">
        <f>AND(PriceComparison!E122,"AAAAAH+7v9M=")</f>
        <v>#VALUE!</v>
      </c>
      <c r="HE6" t="e">
        <f>IF(PriceComparison!A:A,"AAAAAH+7v9Q=",0)</f>
        <v>#VALUE!</v>
      </c>
      <c r="HF6" t="e">
        <f>IF(PriceComparison!B:B,"AAAAAH+7v9U=",0)</f>
        <v>#VALUE!</v>
      </c>
      <c r="HG6" t="e">
        <f>IF(PriceComparison!C:C,"AAAAAH+7v9Y=",0)</f>
        <v>#VALUE!</v>
      </c>
      <c r="HH6" t="e">
        <f>IF(PriceComparison!D:D,"AAAAAH+7v9c=",0)</f>
        <v>#VALUE!</v>
      </c>
      <c r="HI6" t="e">
        <f>IF(PriceComparison!E:E,"AAAAAH+7v9g=",0)</f>
        <v>#VALUE!</v>
      </c>
      <c r="HJ6" t="e">
        <f>IF(PriceComparison!F:F,"AAAAAH+7v9k=",0)</f>
        <v>#VALUE!</v>
      </c>
      <c r="HK6">
        <f>IF(PriceComparison!G:G,"AAAAAH+7v9o=",0)</f>
        <v>0</v>
      </c>
      <c r="HL6">
        <f>IF(PriceComparison!H:H,"AAAAAH+7v9s=",0)</f>
        <v>0</v>
      </c>
      <c r="HM6">
        <f>IF(PriceComparison!I:I,"AAAAAH+7v9w=",0)</f>
        <v>0</v>
      </c>
      <c r="HN6">
        <f>IF(PriceComparison!J:J,"AAAAAH+7v90=",0)</f>
        <v>0</v>
      </c>
      <c r="HO6">
        <f>IF(PriceComparison!K:K,"AAAAAH+7v94=",0)</f>
        <v>0</v>
      </c>
      <c r="HP6">
        <f>IF(PriceComparison!L:L,"AAAAAH+7v98=",0)</f>
        <v>0</v>
      </c>
      <c r="HQ6">
        <f>IF(PriceComparisonGraphs!1:1,"AAAAAH+7v+A=",0)</f>
        <v>0</v>
      </c>
      <c r="HR6" t="e">
        <f>AND(PriceComparisonGraphs!A1,"AAAAAH+7v+E=")</f>
        <v>#VALUE!</v>
      </c>
      <c r="HS6">
        <f>IF(PriceComparisonGraphs!2:2,"AAAAAH+7v+I=",0)</f>
        <v>0</v>
      </c>
      <c r="HT6" t="e">
        <f>AND(PriceComparisonGraphs!A2,"AAAAAH+7v+M=")</f>
        <v>#VALUE!</v>
      </c>
      <c r="HU6">
        <f>IF(PriceComparisonGraphs!3:3,"AAAAAH+7v+Q=",0)</f>
        <v>0</v>
      </c>
      <c r="HV6" t="e">
        <f>AND(PriceComparisonGraphs!A3,"AAAAAH+7v+U=")</f>
        <v>#VALUE!</v>
      </c>
      <c r="HW6">
        <f>IF(PriceComparisonGraphs!4:4,"AAAAAH+7v+Y=",0)</f>
        <v>0</v>
      </c>
      <c r="HX6" t="e">
        <f>AND(PriceComparisonGraphs!A4,"AAAAAH+7v+c=")</f>
        <v>#VALUE!</v>
      </c>
      <c r="HY6">
        <f>IF(PriceComparisonGraphs!5:5,"AAAAAH+7v+g=",0)</f>
        <v>0</v>
      </c>
      <c r="HZ6" t="e">
        <f>AND(PriceComparisonGraphs!A5,"AAAAAH+7v+k=")</f>
        <v>#VALUE!</v>
      </c>
      <c r="IA6">
        <f>IF(PriceComparisonGraphs!6:6,"AAAAAH+7v+o=",0)</f>
        <v>0</v>
      </c>
      <c r="IB6" t="e">
        <f>AND(PriceComparisonGraphs!A6,"AAAAAH+7v+s=")</f>
        <v>#VALUE!</v>
      </c>
      <c r="IC6">
        <f>IF(PriceComparisonGraphs!7:7,"AAAAAH+7v+w=",0)</f>
        <v>0</v>
      </c>
      <c r="ID6" t="e">
        <f>AND(PriceComparisonGraphs!A7,"AAAAAH+7v+0=")</f>
        <v>#VALUE!</v>
      </c>
      <c r="IE6">
        <f>IF(PriceComparisonGraphs!8:8,"AAAAAH+7v+4=",0)</f>
        <v>0</v>
      </c>
      <c r="IF6" t="e">
        <f>AND(PriceComparisonGraphs!A8,"AAAAAH+7v+8=")</f>
        <v>#VALUE!</v>
      </c>
      <c r="IG6">
        <f>IF(PriceComparisonGraphs!9:9,"AAAAAH+7v/A=",0)</f>
        <v>0</v>
      </c>
      <c r="IH6" t="e">
        <f>AND(PriceComparisonGraphs!A9,"AAAAAH+7v/E=")</f>
        <v>#VALUE!</v>
      </c>
      <c r="II6">
        <f>IF(PriceComparisonGraphs!10:10,"AAAAAH+7v/I=",0)</f>
        <v>0</v>
      </c>
      <c r="IJ6" t="e">
        <f>AND(PriceComparisonGraphs!A10,"AAAAAH+7v/M=")</f>
        <v>#VALUE!</v>
      </c>
      <c r="IK6">
        <f>IF(PriceComparisonGraphs!11:11,"AAAAAH+7v/Q=",0)</f>
        <v>0</v>
      </c>
      <c r="IL6" t="e">
        <f>AND(PriceComparisonGraphs!A11,"AAAAAH+7v/U=")</f>
        <v>#VALUE!</v>
      </c>
      <c r="IM6">
        <f>IF(PriceComparisonGraphs!12:12,"AAAAAH+7v/Y=",0)</f>
        <v>0</v>
      </c>
      <c r="IN6" t="e">
        <f>AND(PriceComparisonGraphs!A12,"AAAAAH+7v/c=")</f>
        <v>#VALUE!</v>
      </c>
      <c r="IO6">
        <f>IF(PriceComparisonGraphs!13:13,"AAAAAH+7v/g=",0)</f>
        <v>0</v>
      </c>
      <c r="IP6" t="e">
        <f>AND(PriceComparisonGraphs!A13,"AAAAAH+7v/k=")</f>
        <v>#VALUE!</v>
      </c>
      <c r="IQ6">
        <f>IF(PriceComparisonGraphs!14:14,"AAAAAH+7v/o=",0)</f>
        <v>0</v>
      </c>
      <c r="IR6" t="e">
        <f>AND(PriceComparisonGraphs!A14,"AAAAAH+7v/s=")</f>
        <v>#VALUE!</v>
      </c>
      <c r="IS6">
        <f>IF(PriceComparisonGraphs!15:15,"AAAAAH+7v/w=",0)</f>
        <v>0</v>
      </c>
      <c r="IT6" t="e">
        <f>AND(PriceComparisonGraphs!A15,"AAAAAH+7v/0=")</f>
        <v>#VALUE!</v>
      </c>
      <c r="IU6">
        <f>IF(PriceComparisonGraphs!16:16,"AAAAAH+7v/4=",0)</f>
        <v>0</v>
      </c>
      <c r="IV6" t="e">
        <f>AND(PriceComparisonGraphs!A16,"AAAAAH+7v/8=")</f>
        <v>#VALUE!</v>
      </c>
    </row>
    <row r="7" spans="1:256" x14ac:dyDescent="0.25">
      <c r="A7">
        <f>IF(PriceComparisonGraphs!17:17,"AAAAAD73/wA=",0)</f>
        <v>0</v>
      </c>
      <c r="B7" t="e">
        <f>AND(PriceComparisonGraphs!A17,"AAAAAD73/wE=")</f>
        <v>#VALUE!</v>
      </c>
      <c r="C7">
        <f>IF(PriceComparisonGraphs!18:18,"AAAAAD73/wI=",0)</f>
        <v>0</v>
      </c>
      <c r="D7" t="e">
        <f>AND(PriceComparisonGraphs!A18,"AAAAAD73/wM=")</f>
        <v>#VALUE!</v>
      </c>
      <c r="E7">
        <f>IF(PriceComparisonGraphs!19:19,"AAAAAD73/wQ=",0)</f>
        <v>0</v>
      </c>
      <c r="F7" t="e">
        <f>AND(PriceComparisonGraphs!A19,"AAAAAD73/wU=")</f>
        <v>#VALUE!</v>
      </c>
      <c r="G7">
        <f>IF(PriceComparisonGraphs!20:20,"AAAAAD73/wY=",0)</f>
        <v>0</v>
      </c>
      <c r="H7" t="e">
        <f>AND(PriceComparisonGraphs!A20,"AAAAAD73/wc=")</f>
        <v>#VALUE!</v>
      </c>
      <c r="I7">
        <f>IF(PriceComparisonGraphs!21:21,"AAAAAD73/wg=",0)</f>
        <v>0</v>
      </c>
      <c r="J7" t="e">
        <f>AND(PriceComparisonGraphs!A21,"AAAAAD73/wk=")</f>
        <v>#VALUE!</v>
      </c>
      <c r="K7">
        <f>IF(PriceComparisonGraphs!22:22,"AAAAAD73/wo=",0)</f>
        <v>0</v>
      </c>
      <c r="L7" t="e">
        <f>AND(PriceComparisonGraphs!A22,"AAAAAD73/ws=")</f>
        <v>#VALUE!</v>
      </c>
      <c r="M7">
        <f>IF(PriceComparisonGraphs!23:23,"AAAAAD73/ww=",0)</f>
        <v>0</v>
      </c>
      <c r="N7" t="e">
        <f>AND(PriceComparisonGraphs!A23,"AAAAAD73/w0=")</f>
        <v>#VALUE!</v>
      </c>
      <c r="O7">
        <f>IF(PriceComparisonGraphs!24:24,"AAAAAD73/w4=",0)</f>
        <v>0</v>
      </c>
      <c r="P7" t="e">
        <f>AND(PriceComparisonGraphs!A24,"AAAAAD73/w8=")</f>
        <v>#VALUE!</v>
      </c>
      <c r="Q7">
        <f>IF(PriceComparisonGraphs!25:25,"AAAAAD73/xA=",0)</f>
        <v>0</v>
      </c>
      <c r="R7" t="e">
        <f>AND(PriceComparisonGraphs!A25,"AAAAAD73/xE=")</f>
        <v>#VALUE!</v>
      </c>
      <c r="S7">
        <f>IF(PriceComparisonGraphs!26:26,"AAAAAD73/xI=",0)</f>
        <v>0</v>
      </c>
      <c r="T7" t="e">
        <f>AND(PriceComparisonGraphs!A26,"AAAAAD73/xM=")</f>
        <v>#VALUE!</v>
      </c>
      <c r="U7">
        <f>IF(PriceComparisonGraphs!27:27,"AAAAAD73/xQ=",0)</f>
        <v>0</v>
      </c>
      <c r="V7" t="e">
        <f>AND(PriceComparisonGraphs!A27,"AAAAAD73/xU=")</f>
        <v>#VALUE!</v>
      </c>
      <c r="W7">
        <f>IF(PriceComparisonGraphs!28:28,"AAAAAD73/xY=",0)</f>
        <v>0</v>
      </c>
      <c r="X7" t="e">
        <f>AND(PriceComparisonGraphs!A28,"AAAAAD73/xc=")</f>
        <v>#VALUE!</v>
      </c>
      <c r="Y7">
        <f>IF(PriceComparisonGraphs!29:29,"AAAAAD73/xg=",0)</f>
        <v>0</v>
      </c>
      <c r="Z7" t="e">
        <f>AND(PriceComparisonGraphs!A29,"AAAAAD73/xk=")</f>
        <v>#VALUE!</v>
      </c>
      <c r="AA7">
        <f>IF(PriceComparisonGraphs!30:30,"AAAAAD73/xo=",0)</f>
        <v>0</v>
      </c>
      <c r="AB7" t="e">
        <f>AND(PriceComparisonGraphs!A30,"AAAAAD73/xs=")</f>
        <v>#VALUE!</v>
      </c>
      <c r="AC7">
        <f>IF(PriceComparisonGraphs!31:31,"AAAAAD73/xw=",0)</f>
        <v>0</v>
      </c>
      <c r="AD7" t="e">
        <f>AND(PriceComparisonGraphs!A31,"AAAAAD73/x0=")</f>
        <v>#VALUE!</v>
      </c>
      <c r="AE7">
        <f>IF(PriceComparisonGraphs!32:32,"AAAAAD73/x4=",0)</f>
        <v>0</v>
      </c>
      <c r="AF7" t="e">
        <f>AND(PriceComparisonGraphs!A32,"AAAAAD73/x8=")</f>
        <v>#VALUE!</v>
      </c>
      <c r="AG7">
        <f>IF(PriceComparisonGraphs!33:33,"AAAAAD73/yA=",0)</f>
        <v>0</v>
      </c>
      <c r="AH7" t="e">
        <f>AND(PriceComparisonGraphs!A33,"AAAAAD73/yE=")</f>
        <v>#VALUE!</v>
      </c>
      <c r="AI7">
        <f>IF(PriceComparisonGraphs!34:34,"AAAAAD73/yI=",0)</f>
        <v>0</v>
      </c>
      <c r="AJ7" t="e">
        <f>AND(PriceComparisonGraphs!A34,"AAAAAD73/yM=")</f>
        <v>#VALUE!</v>
      </c>
      <c r="AK7">
        <f>IF(PriceComparisonGraphs!35:35,"AAAAAD73/yQ=",0)</f>
        <v>0</v>
      </c>
      <c r="AL7" t="e">
        <f>AND(PriceComparisonGraphs!A35,"AAAAAD73/yU=")</f>
        <v>#VALUE!</v>
      </c>
      <c r="AM7">
        <f>IF(PriceComparisonGraphs!36:36,"AAAAAD73/yY=",0)</f>
        <v>0</v>
      </c>
      <c r="AN7" t="e">
        <f>AND(PriceComparisonGraphs!A36,"AAAAAD73/yc=")</f>
        <v>#VALUE!</v>
      </c>
      <c r="AO7">
        <f>IF(PriceComparisonGraphs!37:37,"AAAAAD73/yg=",0)</f>
        <v>0</v>
      </c>
      <c r="AP7" t="e">
        <f>AND(PriceComparisonGraphs!A37,"AAAAAD73/yk=")</f>
        <v>#VALUE!</v>
      </c>
      <c r="AQ7">
        <f>IF(PriceComparisonGraphs!38:38,"AAAAAD73/yo=",0)</f>
        <v>0</v>
      </c>
      <c r="AR7" t="e">
        <f>AND(PriceComparisonGraphs!A38,"AAAAAD73/ys=")</f>
        <v>#VALUE!</v>
      </c>
      <c r="AS7">
        <f>IF(PriceComparisonGraphs!39:39,"AAAAAD73/yw=",0)</f>
        <v>0</v>
      </c>
      <c r="AT7" t="e">
        <f>AND(PriceComparisonGraphs!A39,"AAAAAD73/y0=")</f>
        <v>#VALUE!</v>
      </c>
      <c r="AU7">
        <f>IF(PriceComparisonGraphs!40:40,"AAAAAD73/y4=",0)</f>
        <v>0</v>
      </c>
      <c r="AV7" t="e">
        <f>AND(PriceComparisonGraphs!A40,"AAAAAD73/y8=")</f>
        <v>#VALUE!</v>
      </c>
      <c r="AW7">
        <f>IF(PriceComparisonGraphs!41:41,"AAAAAD73/zA=",0)</f>
        <v>0</v>
      </c>
      <c r="AX7" t="e">
        <f>AND(PriceComparisonGraphs!A41,"AAAAAD73/zE=")</f>
        <v>#VALUE!</v>
      </c>
      <c r="AY7">
        <f>IF(PriceComparisonGraphs!42:42,"AAAAAD73/zI=",0)</f>
        <v>0</v>
      </c>
      <c r="AZ7" t="e">
        <f>AND(PriceComparisonGraphs!A42,"AAAAAD73/zM=")</f>
        <v>#VALUE!</v>
      </c>
      <c r="BA7">
        <f>IF(PriceComparisonGraphs!43:43,"AAAAAD73/zQ=",0)</f>
        <v>0</v>
      </c>
      <c r="BB7" t="e">
        <f>AND(PriceComparisonGraphs!A43,"AAAAAD73/zU=")</f>
        <v>#VALUE!</v>
      </c>
      <c r="BC7">
        <f>IF(PriceComparisonGraphs!44:44,"AAAAAD73/zY=",0)</f>
        <v>0</v>
      </c>
      <c r="BD7" t="e">
        <f>AND(PriceComparisonGraphs!A44,"AAAAAD73/zc=")</f>
        <v>#VALUE!</v>
      </c>
      <c r="BE7">
        <f>IF(PriceComparisonGraphs!45:45,"AAAAAD73/zg=",0)</f>
        <v>0</v>
      </c>
      <c r="BF7" t="e">
        <f>AND(PriceComparisonGraphs!A45,"AAAAAD73/zk=")</f>
        <v>#VALUE!</v>
      </c>
      <c r="BG7">
        <f>IF(PriceComparisonGraphs!46:46,"AAAAAD73/zo=",0)</f>
        <v>0</v>
      </c>
      <c r="BH7" t="e">
        <f>AND(PriceComparisonGraphs!A46,"AAAAAD73/zs=")</f>
        <v>#VALUE!</v>
      </c>
      <c r="BI7">
        <f>IF(PriceComparisonGraphs!47:47,"AAAAAD73/zw=",0)</f>
        <v>0</v>
      </c>
      <c r="BJ7" t="e">
        <f>AND(PriceComparisonGraphs!A47,"AAAAAD73/z0=")</f>
        <v>#VALUE!</v>
      </c>
      <c r="BK7">
        <f>IF(PriceComparisonGraphs!48:48,"AAAAAD73/z4=",0)</f>
        <v>0</v>
      </c>
      <c r="BL7" t="e">
        <f>AND(PriceComparisonGraphs!A48,"AAAAAD73/z8=")</f>
        <v>#VALUE!</v>
      </c>
      <c r="BM7">
        <f>IF(PriceComparisonGraphs!49:49,"AAAAAD73/0A=",0)</f>
        <v>0</v>
      </c>
      <c r="BN7" t="e">
        <f>AND(PriceComparisonGraphs!A49,"AAAAAD73/0E=")</f>
        <v>#VALUE!</v>
      </c>
      <c r="BO7">
        <f>IF(PriceComparisonGraphs!50:50,"AAAAAD73/0I=",0)</f>
        <v>0</v>
      </c>
      <c r="BP7" t="e">
        <f>AND(PriceComparisonGraphs!A50,"AAAAAD73/0M=")</f>
        <v>#VALUE!</v>
      </c>
      <c r="BQ7">
        <f>IF(PriceComparisonGraphs!51:51,"AAAAAD73/0Q=",0)</f>
        <v>0</v>
      </c>
      <c r="BR7" t="e">
        <f>AND(PriceComparisonGraphs!A51,"AAAAAD73/0U=")</f>
        <v>#VALUE!</v>
      </c>
      <c r="BS7">
        <f>IF(PriceComparisonGraphs!52:52,"AAAAAD73/0Y=",0)</f>
        <v>0</v>
      </c>
      <c r="BT7" t="e">
        <f>AND(PriceComparisonGraphs!A52,"AAAAAD73/0c=")</f>
        <v>#VALUE!</v>
      </c>
      <c r="BU7">
        <f>IF(PriceComparisonGraphs!53:53,"AAAAAD73/0g=",0)</f>
        <v>0</v>
      </c>
      <c r="BV7" t="e">
        <f>AND(PriceComparisonGraphs!A53,"AAAAAD73/0k=")</f>
        <v>#VALUE!</v>
      </c>
      <c r="BW7">
        <f>IF(PriceComparisonGraphs!54:54,"AAAAAD73/0o=",0)</f>
        <v>0</v>
      </c>
      <c r="BX7" t="e">
        <f>AND(PriceComparisonGraphs!A54,"AAAAAD73/0s=")</f>
        <v>#VALUE!</v>
      </c>
      <c r="BY7">
        <f>IF(PriceComparisonGraphs!55:55,"AAAAAD73/0w=",0)</f>
        <v>0</v>
      </c>
      <c r="BZ7" t="e">
        <f>AND(PriceComparisonGraphs!A55,"AAAAAD73/00=")</f>
        <v>#VALUE!</v>
      </c>
      <c r="CA7">
        <f>IF(PriceComparisonGraphs!56:56,"AAAAAD73/04=",0)</f>
        <v>0</v>
      </c>
      <c r="CB7" t="e">
        <f>AND(PriceComparisonGraphs!A56,"AAAAAD73/08=")</f>
        <v>#VALUE!</v>
      </c>
      <c r="CC7">
        <f>IF(PriceComparisonGraphs!57:57,"AAAAAD73/1A=",0)</f>
        <v>0</v>
      </c>
      <c r="CD7" t="e">
        <f>AND(PriceComparisonGraphs!A57,"AAAAAD73/1E=")</f>
        <v>#VALUE!</v>
      </c>
      <c r="CE7">
        <f>IF(PriceComparisonGraphs!58:58,"AAAAAD73/1I=",0)</f>
        <v>0</v>
      </c>
      <c r="CF7" t="e">
        <f>AND(PriceComparisonGraphs!A58,"AAAAAD73/1M=")</f>
        <v>#VALUE!</v>
      </c>
      <c r="CG7">
        <f>IF(PriceComparisonGraphs!59:59,"AAAAAD73/1Q=",0)</f>
        <v>0</v>
      </c>
      <c r="CH7" t="e">
        <f>AND(PriceComparisonGraphs!A59,"AAAAAD73/1U=")</f>
        <v>#VALUE!</v>
      </c>
      <c r="CI7">
        <f>IF(PriceComparisonGraphs!60:60,"AAAAAD73/1Y=",0)</f>
        <v>0</v>
      </c>
      <c r="CJ7" t="e">
        <f>AND(PriceComparisonGraphs!A60,"AAAAAD73/1c=")</f>
        <v>#VALUE!</v>
      </c>
      <c r="CK7">
        <f>IF(PriceComparisonGraphs!61:61,"AAAAAD73/1g=",0)</f>
        <v>0</v>
      </c>
      <c r="CL7" t="e">
        <f>AND(PriceComparisonGraphs!A61,"AAAAAD73/1k=")</f>
        <v>#VALUE!</v>
      </c>
      <c r="CM7">
        <f>IF(PriceComparisonGraphs!62:62,"AAAAAD73/1o=",0)</f>
        <v>0</v>
      </c>
      <c r="CN7" t="e">
        <f>AND(PriceComparisonGraphs!A62,"AAAAAD73/1s=")</f>
        <v>#VALUE!</v>
      </c>
      <c r="CO7">
        <f>IF(PriceComparisonGraphs!63:63,"AAAAAD73/1w=",0)</f>
        <v>0</v>
      </c>
      <c r="CP7" t="e">
        <f>AND(PriceComparisonGraphs!A63,"AAAAAD73/10=")</f>
        <v>#VALUE!</v>
      </c>
      <c r="CQ7">
        <f>IF(PriceComparisonGraphs!64:64,"AAAAAD73/14=",0)</f>
        <v>0</v>
      </c>
      <c r="CR7" t="e">
        <f>AND(PriceComparisonGraphs!A64,"AAAAAD73/18=")</f>
        <v>#VALUE!</v>
      </c>
      <c r="CS7">
        <f>IF(PriceComparisonGraphs!65:65,"AAAAAD73/2A=",0)</f>
        <v>0</v>
      </c>
      <c r="CT7" t="e">
        <f>AND(PriceComparisonGraphs!A65,"AAAAAD73/2E=")</f>
        <v>#VALUE!</v>
      </c>
      <c r="CU7">
        <f>IF(PriceComparisonGraphs!66:66,"AAAAAD73/2I=",0)</f>
        <v>0</v>
      </c>
      <c r="CV7" t="e">
        <f>AND(PriceComparisonGraphs!A66,"AAAAAD73/2M=")</f>
        <v>#VALUE!</v>
      </c>
      <c r="CW7">
        <f>IF(PriceComparisonGraphs!67:67,"AAAAAD73/2Q=",0)</f>
        <v>0</v>
      </c>
      <c r="CX7" t="e">
        <f>AND(PriceComparisonGraphs!A67,"AAAAAD73/2U=")</f>
        <v>#VALUE!</v>
      </c>
      <c r="CY7">
        <f>IF(PriceComparisonGraphs!68:68,"AAAAAD73/2Y=",0)</f>
        <v>0</v>
      </c>
      <c r="CZ7" t="e">
        <f>AND(PriceComparisonGraphs!A68,"AAAAAD73/2c=")</f>
        <v>#VALUE!</v>
      </c>
      <c r="DA7">
        <f>IF(PriceComparisonGraphs!69:69,"AAAAAD73/2g=",0)</f>
        <v>0</v>
      </c>
      <c r="DB7" t="e">
        <f>AND(PriceComparisonGraphs!A69,"AAAAAD73/2k=")</f>
        <v>#VALUE!</v>
      </c>
      <c r="DC7">
        <f>IF(PriceComparisonGraphs!70:70,"AAAAAD73/2o=",0)</f>
        <v>0</v>
      </c>
      <c r="DD7" t="e">
        <f>AND(PriceComparisonGraphs!A70,"AAAAAD73/2s=")</f>
        <v>#VALUE!</v>
      </c>
      <c r="DE7">
        <f>IF(PriceComparisonGraphs!71:71,"AAAAAD73/2w=",0)</f>
        <v>0</v>
      </c>
      <c r="DF7" t="e">
        <f>AND(PriceComparisonGraphs!A71,"AAAAAD73/20=")</f>
        <v>#VALUE!</v>
      </c>
      <c r="DG7">
        <f>IF(PriceComparisonGraphs!72:72,"AAAAAD73/24=",0)</f>
        <v>0</v>
      </c>
      <c r="DH7" t="e">
        <f>AND(PriceComparisonGraphs!A72,"AAAAAD73/28=")</f>
        <v>#VALUE!</v>
      </c>
      <c r="DI7">
        <f>IF(PriceComparisonGraphs!73:73,"AAAAAD73/3A=",0)</f>
        <v>0</v>
      </c>
      <c r="DJ7" t="e">
        <f>AND(PriceComparisonGraphs!A73,"AAAAAD73/3E=")</f>
        <v>#VALUE!</v>
      </c>
      <c r="DK7">
        <f>IF(PriceComparisonGraphs!74:74,"AAAAAD73/3I=",0)</f>
        <v>0</v>
      </c>
      <c r="DL7" t="e">
        <f>AND(PriceComparisonGraphs!A74,"AAAAAD73/3M=")</f>
        <v>#VALUE!</v>
      </c>
      <c r="DM7">
        <f>IF(PriceComparisonGraphs!75:75,"AAAAAD73/3Q=",0)</f>
        <v>0</v>
      </c>
      <c r="DN7" t="e">
        <f>AND(PriceComparisonGraphs!A75,"AAAAAD73/3U=")</f>
        <v>#VALUE!</v>
      </c>
      <c r="DO7">
        <f>IF(PriceComparisonGraphs!76:76,"AAAAAD73/3Y=",0)</f>
        <v>0</v>
      </c>
      <c r="DP7" t="e">
        <f>AND(PriceComparisonGraphs!A76,"AAAAAD73/3c=")</f>
        <v>#VALUE!</v>
      </c>
      <c r="DQ7">
        <f>IF(PriceComparisonGraphs!77:77,"AAAAAD73/3g=",0)</f>
        <v>0</v>
      </c>
      <c r="DR7" t="e">
        <f>AND(PriceComparisonGraphs!A77,"AAAAAD73/3k=")</f>
        <v>#VALUE!</v>
      </c>
      <c r="DS7">
        <f>IF(PriceComparisonGraphs!78:78,"AAAAAD73/3o=",0)</f>
        <v>0</v>
      </c>
      <c r="DT7" t="e">
        <f>AND(PriceComparisonGraphs!A78,"AAAAAD73/3s=")</f>
        <v>#VALUE!</v>
      </c>
      <c r="DU7">
        <f>IF(PriceComparisonGraphs!79:79,"AAAAAD73/3w=",0)</f>
        <v>0</v>
      </c>
      <c r="DV7" t="e">
        <f>AND(PriceComparisonGraphs!A79,"AAAAAD73/30=")</f>
        <v>#VALUE!</v>
      </c>
      <c r="DW7">
        <f>IF(PriceComparisonGraphs!80:80,"AAAAAD73/34=",0)</f>
        <v>0</v>
      </c>
      <c r="DX7" t="e">
        <f>AND(PriceComparisonGraphs!A80,"AAAAAD73/38=")</f>
        <v>#VALUE!</v>
      </c>
      <c r="DY7">
        <f>IF(PriceComparisonGraphs!81:81,"AAAAAD73/4A=",0)</f>
        <v>0</v>
      </c>
      <c r="DZ7" t="e">
        <f>AND(PriceComparisonGraphs!A81,"AAAAAD73/4E=")</f>
        <v>#VALUE!</v>
      </c>
      <c r="EA7">
        <f>IF(PriceComparisonGraphs!82:82,"AAAAAD73/4I=",0)</f>
        <v>0</v>
      </c>
      <c r="EB7" t="e">
        <f>AND(PriceComparisonGraphs!A82,"AAAAAD73/4M=")</f>
        <v>#VALUE!</v>
      </c>
      <c r="EC7">
        <f>IF(PriceComparisonGraphs!83:83,"AAAAAD73/4Q=",0)</f>
        <v>0</v>
      </c>
      <c r="ED7" t="e">
        <f>AND(PriceComparisonGraphs!A83,"AAAAAD73/4U=")</f>
        <v>#VALUE!</v>
      </c>
      <c r="EE7">
        <f>IF(PriceComparisonGraphs!84:84,"AAAAAD73/4Y=",0)</f>
        <v>0</v>
      </c>
      <c r="EF7" t="e">
        <f>AND(PriceComparisonGraphs!A84,"AAAAAD73/4c=")</f>
        <v>#VALUE!</v>
      </c>
      <c r="EG7">
        <f>IF(PriceComparisonGraphs!85:85,"AAAAAD73/4g=",0)</f>
        <v>0</v>
      </c>
      <c r="EH7" t="e">
        <f>AND(PriceComparisonGraphs!A85,"AAAAAD73/4k=")</f>
        <v>#VALUE!</v>
      </c>
      <c r="EI7">
        <f>IF(PriceComparisonGraphs!86:86,"AAAAAD73/4o=",0)</f>
        <v>0</v>
      </c>
      <c r="EJ7" t="e">
        <f>AND(PriceComparisonGraphs!A86,"AAAAAD73/4s=")</f>
        <v>#VALUE!</v>
      </c>
      <c r="EK7">
        <f>IF(PriceComparisonGraphs!87:87,"AAAAAD73/4w=",0)</f>
        <v>0</v>
      </c>
      <c r="EL7" t="e">
        <f>AND(PriceComparisonGraphs!A87,"AAAAAD73/40=")</f>
        <v>#VALUE!</v>
      </c>
      <c r="EM7">
        <f>IF(PriceComparisonGraphs!88:88,"AAAAAD73/44=",0)</f>
        <v>0</v>
      </c>
      <c r="EN7" t="e">
        <f>AND(PriceComparisonGraphs!A88,"AAAAAD73/48=")</f>
        <v>#VALUE!</v>
      </c>
      <c r="EO7">
        <f>IF(PriceComparisonGraphs!89:89,"AAAAAD73/5A=",0)</f>
        <v>0</v>
      </c>
      <c r="EP7" t="e">
        <f>AND(PriceComparisonGraphs!A89,"AAAAAD73/5E=")</f>
        <v>#VALUE!</v>
      </c>
      <c r="EQ7">
        <f>IF(PriceComparisonGraphs!90:90,"AAAAAD73/5I=",0)</f>
        <v>0</v>
      </c>
      <c r="ER7" t="e">
        <f>AND(PriceComparisonGraphs!A90,"AAAAAD73/5M=")</f>
        <v>#VALUE!</v>
      </c>
      <c r="ES7">
        <f>IF(PriceComparisonGraphs!91:91,"AAAAAD73/5Q=",0)</f>
        <v>0</v>
      </c>
      <c r="ET7" t="e">
        <f>AND(PriceComparisonGraphs!A91,"AAAAAD73/5U=")</f>
        <v>#VALUE!</v>
      </c>
      <c r="EU7">
        <f>IF(PriceComparisonGraphs!92:92,"AAAAAD73/5Y=",0)</f>
        <v>0</v>
      </c>
      <c r="EV7" t="e">
        <f>AND(PriceComparisonGraphs!A92,"AAAAAD73/5c=")</f>
        <v>#VALUE!</v>
      </c>
      <c r="EW7">
        <f>IF(PriceComparisonGraphs!93:93,"AAAAAD73/5g=",0)</f>
        <v>0</v>
      </c>
      <c r="EX7" t="e">
        <f>AND(PriceComparisonGraphs!A93,"AAAAAD73/5k=")</f>
        <v>#VALUE!</v>
      </c>
      <c r="EY7">
        <f>IF(PriceComparisonGraphs!94:94,"AAAAAD73/5o=",0)</f>
        <v>0</v>
      </c>
      <c r="EZ7" t="e">
        <f>AND(PriceComparisonGraphs!A94,"AAAAAD73/5s=")</f>
        <v>#VALUE!</v>
      </c>
      <c r="FA7">
        <f>IF(PriceComparisonGraphs!95:95,"AAAAAD73/5w=",0)</f>
        <v>0</v>
      </c>
      <c r="FB7" t="e">
        <f>AND(PriceComparisonGraphs!A95,"AAAAAD73/50=")</f>
        <v>#VALUE!</v>
      </c>
      <c r="FC7">
        <f>IF(PriceComparisonGraphs!96:96,"AAAAAD73/54=",0)</f>
        <v>0</v>
      </c>
      <c r="FD7" t="e">
        <f>AND(PriceComparisonGraphs!A96,"AAAAAD73/58=")</f>
        <v>#VALUE!</v>
      </c>
      <c r="FE7">
        <f>IF(PriceComparisonGraphs!97:97,"AAAAAD73/6A=",0)</f>
        <v>0</v>
      </c>
      <c r="FF7" t="e">
        <f>AND(PriceComparisonGraphs!A97,"AAAAAD73/6E=")</f>
        <v>#VALUE!</v>
      </c>
      <c r="FG7">
        <f>IF(PriceComparisonGraphs!98:98,"AAAAAD73/6I=",0)</f>
        <v>0</v>
      </c>
      <c r="FH7" t="e">
        <f>AND(PriceComparisonGraphs!A98,"AAAAAD73/6M=")</f>
        <v>#VALUE!</v>
      </c>
      <c r="FI7">
        <f>IF(PriceComparisonGraphs!99:99,"AAAAAD73/6Q=",0)</f>
        <v>0</v>
      </c>
      <c r="FJ7" t="e">
        <f>AND(PriceComparisonGraphs!A99,"AAAAAD73/6U=")</f>
        <v>#VALUE!</v>
      </c>
      <c r="FK7">
        <f>IF(PriceComparisonGraphs!100:100,"AAAAAD73/6Y=",0)</f>
        <v>0</v>
      </c>
      <c r="FL7" t="e">
        <f>AND(PriceComparisonGraphs!A100,"AAAAAD73/6c=")</f>
        <v>#VALUE!</v>
      </c>
      <c r="FM7">
        <f>IF(PriceComparisonGraphs!101:101,"AAAAAD73/6g=",0)</f>
        <v>0</v>
      </c>
      <c r="FN7" t="e">
        <f>AND(PriceComparisonGraphs!A101,"AAAAAD73/6k=")</f>
        <v>#VALUE!</v>
      </c>
      <c r="FO7">
        <f>IF(PriceComparisonGraphs!A:A,"AAAAAD73/6o=",0)</f>
        <v>0</v>
      </c>
      <c r="FP7">
        <f>IF(PriceComparisonNormalised!1:1,"AAAAAD73/6s=",0)</f>
        <v>0</v>
      </c>
      <c r="FQ7" t="e">
        <f>AND(PriceComparisonNormalised!A1,"AAAAAD73/6w=")</f>
        <v>#VALUE!</v>
      </c>
      <c r="FR7" t="e">
        <f>AND(PriceComparisonNormalised!B1,"AAAAAD73/60=")</f>
        <v>#VALUE!</v>
      </c>
      <c r="FS7" t="e">
        <f>AND(PriceComparisonNormalised!C1,"AAAAAD73/64=")</f>
        <v>#VALUE!</v>
      </c>
      <c r="FT7">
        <f>IF(PriceComparisonNormalised!2:2,"AAAAAD73/68=",0)</f>
        <v>0</v>
      </c>
      <c r="FU7" t="e">
        <f>AND(PriceComparisonNormalised!A2,"AAAAAD73/7A=")</f>
        <v>#VALUE!</v>
      </c>
      <c r="FV7" t="e">
        <f>AND(PriceComparisonNormalised!B2,"AAAAAD73/7E=")</f>
        <v>#VALUE!</v>
      </c>
      <c r="FW7" t="e">
        <f>AND(PriceComparisonNormalised!C2,"AAAAAD73/7I=")</f>
        <v>#VALUE!</v>
      </c>
      <c r="FX7">
        <f>IF(PriceComparisonNormalised!3:3,"AAAAAD73/7M=",0)</f>
        <v>0</v>
      </c>
      <c r="FY7" t="e">
        <f>AND(PriceComparisonNormalised!A3,"AAAAAD73/7Q=")</f>
        <v>#VALUE!</v>
      </c>
      <c r="FZ7" t="e">
        <f>AND(PriceComparisonNormalised!B3,"AAAAAD73/7U=")</f>
        <v>#VALUE!</v>
      </c>
      <c r="GA7" t="e">
        <f>AND(PriceComparisonNormalised!C3,"AAAAAD73/7Y=")</f>
        <v>#VALUE!</v>
      </c>
      <c r="GB7">
        <f>IF(PriceComparisonNormalised!4:4,"AAAAAD73/7c=",0)</f>
        <v>0</v>
      </c>
      <c r="GC7" t="e">
        <f>AND(PriceComparisonNormalised!A4,"AAAAAD73/7g=")</f>
        <v>#VALUE!</v>
      </c>
      <c r="GD7" t="e">
        <f>AND(PriceComparisonNormalised!B4,"AAAAAD73/7k=")</f>
        <v>#VALUE!</v>
      </c>
      <c r="GE7" t="e">
        <f>AND(PriceComparisonNormalised!C4,"AAAAAD73/7o=")</f>
        <v>#VALUE!</v>
      </c>
      <c r="GF7">
        <f>IF(PriceComparisonNormalised!5:5,"AAAAAD73/7s=",0)</f>
        <v>0</v>
      </c>
      <c r="GG7" t="e">
        <f>AND(PriceComparisonNormalised!A5,"AAAAAD73/7w=")</f>
        <v>#VALUE!</v>
      </c>
      <c r="GH7" t="e">
        <f>AND(PriceComparisonNormalised!B5,"AAAAAD73/70=")</f>
        <v>#VALUE!</v>
      </c>
      <c r="GI7" t="e">
        <f>AND(PriceComparisonNormalised!C5,"AAAAAD73/74=")</f>
        <v>#VALUE!</v>
      </c>
      <c r="GJ7">
        <f>IF(PriceComparisonNormalised!6:6,"AAAAAD73/78=",0)</f>
        <v>0</v>
      </c>
      <c r="GK7" t="e">
        <f>AND(PriceComparisonNormalised!A6,"AAAAAD73/8A=")</f>
        <v>#VALUE!</v>
      </c>
      <c r="GL7" t="e">
        <f>AND(PriceComparisonNormalised!B6,"AAAAAD73/8E=")</f>
        <v>#VALUE!</v>
      </c>
      <c r="GM7" t="e">
        <f>AND(PriceComparisonNormalised!C6,"AAAAAD73/8I=")</f>
        <v>#VALUE!</v>
      </c>
      <c r="GN7">
        <f>IF(PriceComparisonNormalised!7:7,"AAAAAD73/8M=",0)</f>
        <v>0</v>
      </c>
      <c r="GO7" t="e">
        <f>AND(PriceComparisonNormalised!A7,"AAAAAD73/8Q=")</f>
        <v>#VALUE!</v>
      </c>
      <c r="GP7" t="e">
        <f>AND(PriceComparisonNormalised!B7,"AAAAAD73/8U=")</f>
        <v>#VALUE!</v>
      </c>
      <c r="GQ7" t="e">
        <f>AND(PriceComparisonNormalised!C7,"AAAAAD73/8Y=")</f>
        <v>#VALUE!</v>
      </c>
      <c r="GR7">
        <f>IF(PriceComparisonNormalised!8:8,"AAAAAD73/8c=",0)</f>
        <v>0</v>
      </c>
      <c r="GS7" t="e">
        <f>AND(PriceComparisonNormalised!A8,"AAAAAD73/8g=")</f>
        <v>#VALUE!</v>
      </c>
      <c r="GT7" t="e">
        <f>AND(PriceComparisonNormalised!B8,"AAAAAD73/8k=")</f>
        <v>#VALUE!</v>
      </c>
      <c r="GU7" t="e">
        <f>AND(PriceComparisonNormalised!C8,"AAAAAD73/8o=")</f>
        <v>#VALUE!</v>
      </c>
      <c r="GV7">
        <f>IF(PriceComparisonNormalised!9:9,"AAAAAD73/8s=",0)</f>
        <v>0</v>
      </c>
      <c r="GW7" t="e">
        <f>AND(PriceComparisonNormalised!A9,"AAAAAD73/8w=")</f>
        <v>#VALUE!</v>
      </c>
      <c r="GX7" t="e">
        <f>AND(PriceComparisonNormalised!B9,"AAAAAD73/80=")</f>
        <v>#VALUE!</v>
      </c>
      <c r="GY7" t="e">
        <f>AND(PriceComparisonNormalised!C9,"AAAAAD73/84=")</f>
        <v>#VALUE!</v>
      </c>
      <c r="GZ7">
        <f>IF(PriceComparisonNormalised!10:10,"AAAAAD73/88=",0)</f>
        <v>0</v>
      </c>
      <c r="HA7" t="e">
        <f>AND(PriceComparisonNormalised!A10,"AAAAAD73/9A=")</f>
        <v>#VALUE!</v>
      </c>
      <c r="HB7" t="e">
        <f>AND(PriceComparisonNormalised!B10,"AAAAAD73/9E=")</f>
        <v>#VALUE!</v>
      </c>
      <c r="HC7" t="e">
        <f>AND(PriceComparisonNormalised!C10,"AAAAAD73/9I=")</f>
        <v>#VALUE!</v>
      </c>
      <c r="HD7">
        <f>IF(PriceComparisonNormalised!11:11,"AAAAAD73/9M=",0)</f>
        <v>0</v>
      </c>
      <c r="HE7" t="e">
        <f>AND(PriceComparisonNormalised!A11,"AAAAAD73/9Q=")</f>
        <v>#VALUE!</v>
      </c>
      <c r="HF7" t="e">
        <f>AND(PriceComparisonNormalised!B11,"AAAAAD73/9U=")</f>
        <v>#VALUE!</v>
      </c>
      <c r="HG7" t="e">
        <f>AND(PriceComparisonNormalised!C11,"AAAAAD73/9Y=")</f>
        <v>#VALUE!</v>
      </c>
      <c r="HH7">
        <f>IF(PriceComparisonNormalised!12:12,"AAAAAD73/9c=",0)</f>
        <v>0</v>
      </c>
      <c r="HI7" t="e">
        <f>AND(PriceComparisonNormalised!A12,"AAAAAD73/9g=")</f>
        <v>#VALUE!</v>
      </c>
      <c r="HJ7" t="e">
        <f>AND(PriceComparisonNormalised!B12,"AAAAAD73/9k=")</f>
        <v>#VALUE!</v>
      </c>
      <c r="HK7" t="e">
        <f>AND(PriceComparisonNormalised!C12,"AAAAAD73/9o=")</f>
        <v>#VALUE!</v>
      </c>
      <c r="HL7">
        <f>IF(PriceComparisonNormalised!13:13,"AAAAAD73/9s=",0)</f>
        <v>0</v>
      </c>
      <c r="HM7" t="e">
        <f>AND(PriceComparisonNormalised!A13,"AAAAAD73/9w=")</f>
        <v>#VALUE!</v>
      </c>
      <c r="HN7" t="e">
        <f>AND(PriceComparisonNormalised!B13,"AAAAAD73/90=")</f>
        <v>#VALUE!</v>
      </c>
      <c r="HO7" t="e">
        <f>AND(PriceComparisonNormalised!C13,"AAAAAD73/94=")</f>
        <v>#VALUE!</v>
      </c>
      <c r="HP7">
        <f>IF(PriceComparisonNormalised!14:14,"AAAAAD73/98=",0)</f>
        <v>0</v>
      </c>
      <c r="HQ7" t="e">
        <f>AND(PriceComparisonNormalised!A14,"AAAAAD73/+A=")</f>
        <v>#VALUE!</v>
      </c>
      <c r="HR7" t="e">
        <f>AND(PriceComparisonNormalised!B14,"AAAAAD73/+E=")</f>
        <v>#VALUE!</v>
      </c>
      <c r="HS7" t="e">
        <f>AND(PriceComparisonNormalised!C14,"AAAAAD73/+I=")</f>
        <v>#VALUE!</v>
      </c>
      <c r="HT7">
        <f>IF(PriceComparisonNormalised!15:15,"AAAAAD73/+M=",0)</f>
        <v>0</v>
      </c>
      <c r="HU7" t="e">
        <f>AND(PriceComparisonNormalised!A15,"AAAAAD73/+Q=")</f>
        <v>#VALUE!</v>
      </c>
      <c r="HV7" t="e">
        <f>AND(PriceComparisonNormalised!B15,"AAAAAD73/+U=")</f>
        <v>#VALUE!</v>
      </c>
      <c r="HW7" t="e">
        <f>AND(PriceComparisonNormalised!C15,"AAAAAD73/+Y=")</f>
        <v>#VALUE!</v>
      </c>
      <c r="HX7">
        <f>IF(PriceComparisonNormalised!16:16,"AAAAAD73/+c=",0)</f>
        <v>0</v>
      </c>
      <c r="HY7" t="e">
        <f>AND(PriceComparisonNormalised!A16,"AAAAAD73/+g=")</f>
        <v>#VALUE!</v>
      </c>
      <c r="HZ7" t="e">
        <f>AND(PriceComparisonNormalised!B16,"AAAAAD73/+k=")</f>
        <v>#VALUE!</v>
      </c>
      <c r="IA7" t="e">
        <f>AND(PriceComparisonNormalised!C16,"AAAAAD73/+o=")</f>
        <v>#VALUE!</v>
      </c>
      <c r="IB7">
        <f>IF(PriceComparisonNormalised!17:17,"AAAAAD73/+s=",0)</f>
        <v>0</v>
      </c>
      <c r="IC7" t="e">
        <f>AND(PriceComparisonNormalised!A17,"AAAAAD73/+w=")</f>
        <v>#VALUE!</v>
      </c>
      <c r="ID7" t="e">
        <f>AND(PriceComparisonNormalised!B17,"AAAAAD73/+0=")</f>
        <v>#VALUE!</v>
      </c>
      <c r="IE7" t="e">
        <f>AND(PriceComparisonNormalised!C17,"AAAAAD73/+4=")</f>
        <v>#VALUE!</v>
      </c>
      <c r="IF7">
        <f>IF(PriceComparisonNormalised!18:18,"AAAAAD73/+8=",0)</f>
        <v>0</v>
      </c>
      <c r="IG7" t="e">
        <f>AND(PriceComparisonNormalised!A18,"AAAAAD73//A=")</f>
        <v>#VALUE!</v>
      </c>
      <c r="IH7" t="e">
        <f>AND(PriceComparisonNormalised!B18,"AAAAAD73//E=")</f>
        <v>#VALUE!</v>
      </c>
      <c r="II7" t="e">
        <f>AND(PriceComparisonNormalised!C18,"AAAAAD73//I=")</f>
        <v>#VALUE!</v>
      </c>
      <c r="IJ7">
        <f>IF(PriceComparisonNormalised!19:19,"AAAAAD73//M=",0)</f>
        <v>0</v>
      </c>
      <c r="IK7" t="e">
        <f>AND(PriceComparisonNormalised!A19,"AAAAAD73//Q=")</f>
        <v>#VALUE!</v>
      </c>
      <c r="IL7" t="e">
        <f>AND(PriceComparisonNormalised!B19,"AAAAAD73//U=")</f>
        <v>#VALUE!</v>
      </c>
      <c r="IM7" t="e">
        <f>AND(PriceComparisonNormalised!C19,"AAAAAD73//Y=")</f>
        <v>#VALUE!</v>
      </c>
      <c r="IN7">
        <f>IF(PriceComparisonNormalised!20:20,"AAAAAD73//c=",0)</f>
        <v>0</v>
      </c>
      <c r="IO7" t="e">
        <f>AND(PriceComparisonNormalised!A20,"AAAAAD73//g=")</f>
        <v>#VALUE!</v>
      </c>
      <c r="IP7" t="e">
        <f>AND(PriceComparisonNormalised!B20,"AAAAAD73//k=")</f>
        <v>#VALUE!</v>
      </c>
      <c r="IQ7" t="e">
        <f>AND(PriceComparisonNormalised!C20,"AAAAAD73//o=")</f>
        <v>#VALUE!</v>
      </c>
      <c r="IR7">
        <f>IF(PriceComparisonNormalised!21:21,"AAAAAD73//s=",0)</f>
        <v>0</v>
      </c>
      <c r="IS7" t="e">
        <f>AND(PriceComparisonNormalised!A21,"AAAAAD73//w=")</f>
        <v>#VALUE!</v>
      </c>
      <c r="IT7" t="e">
        <f>AND(PriceComparisonNormalised!B21,"AAAAAD73//0=")</f>
        <v>#VALUE!</v>
      </c>
      <c r="IU7" t="e">
        <f>AND(PriceComparisonNormalised!C21,"AAAAAD73//4=")</f>
        <v>#VALUE!</v>
      </c>
      <c r="IV7">
        <f>IF(PriceComparisonNormalised!22:22,"AAAAAD73//8=",0)</f>
        <v>0</v>
      </c>
    </row>
    <row r="8" spans="1:256" x14ac:dyDescent="0.25">
      <c r="A8" t="e">
        <f>AND(PriceComparisonNormalised!A22,"AAAAAE/97wA=")</f>
        <v>#VALUE!</v>
      </c>
      <c r="B8" t="e">
        <f>AND(PriceComparisonNormalised!B22,"AAAAAE/97wE=")</f>
        <v>#VALUE!</v>
      </c>
      <c r="C8" t="e">
        <f>AND(PriceComparisonNormalised!C22,"AAAAAE/97wI=")</f>
        <v>#VALUE!</v>
      </c>
      <c r="D8">
        <f>IF(PriceComparisonNormalised!23:23,"AAAAAE/97wM=",0)</f>
        <v>0</v>
      </c>
      <c r="E8" t="e">
        <f>AND(PriceComparisonNormalised!A23,"AAAAAE/97wQ=")</f>
        <v>#VALUE!</v>
      </c>
      <c r="F8" t="e">
        <f>AND(PriceComparisonNormalised!B23,"AAAAAE/97wU=")</f>
        <v>#VALUE!</v>
      </c>
      <c r="G8" t="e">
        <f>AND(PriceComparisonNormalised!C23,"AAAAAE/97wY=")</f>
        <v>#VALUE!</v>
      </c>
      <c r="H8">
        <f>IF(PriceComparisonNormalised!24:24,"AAAAAE/97wc=",0)</f>
        <v>0</v>
      </c>
      <c r="I8" t="e">
        <f>AND(PriceComparisonNormalised!A24,"AAAAAE/97wg=")</f>
        <v>#VALUE!</v>
      </c>
      <c r="J8" t="e">
        <f>AND(PriceComparisonNormalised!B24,"AAAAAE/97wk=")</f>
        <v>#VALUE!</v>
      </c>
      <c r="K8" t="e">
        <f>AND(PriceComparisonNormalised!C24,"AAAAAE/97wo=")</f>
        <v>#VALUE!</v>
      </c>
      <c r="L8">
        <f>IF(PriceComparisonNormalised!25:25,"AAAAAE/97ws=",0)</f>
        <v>0</v>
      </c>
      <c r="M8" t="e">
        <f>AND(PriceComparisonNormalised!A25,"AAAAAE/97ww=")</f>
        <v>#VALUE!</v>
      </c>
      <c r="N8" t="e">
        <f>AND(PriceComparisonNormalised!B25,"AAAAAE/97w0=")</f>
        <v>#VALUE!</v>
      </c>
      <c r="O8" t="e">
        <f>AND(PriceComparisonNormalised!C25,"AAAAAE/97w4=")</f>
        <v>#VALUE!</v>
      </c>
      <c r="P8">
        <f>IF(PriceComparisonNormalised!26:26,"AAAAAE/97w8=",0)</f>
        <v>0</v>
      </c>
      <c r="Q8" t="e">
        <f>AND(PriceComparisonNormalised!A26,"AAAAAE/97xA=")</f>
        <v>#VALUE!</v>
      </c>
      <c r="R8" t="e">
        <f>AND(PriceComparisonNormalised!B26,"AAAAAE/97xE=")</f>
        <v>#VALUE!</v>
      </c>
      <c r="S8" t="e">
        <f>AND(PriceComparisonNormalised!C26,"AAAAAE/97xI=")</f>
        <v>#VALUE!</v>
      </c>
      <c r="T8">
        <f>IF(PriceComparisonNormalised!27:27,"AAAAAE/97xM=",0)</f>
        <v>0</v>
      </c>
      <c r="U8" t="e">
        <f>AND(PriceComparisonNormalised!A27,"AAAAAE/97xQ=")</f>
        <v>#VALUE!</v>
      </c>
      <c r="V8" t="e">
        <f>AND(PriceComparisonNormalised!B27,"AAAAAE/97xU=")</f>
        <v>#VALUE!</v>
      </c>
      <c r="W8" t="e">
        <f>AND(PriceComparisonNormalised!C27,"AAAAAE/97xY=")</f>
        <v>#VALUE!</v>
      </c>
      <c r="X8">
        <f>IF(PriceComparisonNormalised!28:28,"AAAAAE/97xc=",0)</f>
        <v>0</v>
      </c>
      <c r="Y8" t="e">
        <f>AND(PriceComparisonNormalised!A28,"AAAAAE/97xg=")</f>
        <v>#VALUE!</v>
      </c>
      <c r="Z8" t="e">
        <f>AND(PriceComparisonNormalised!B28,"AAAAAE/97xk=")</f>
        <v>#VALUE!</v>
      </c>
      <c r="AA8" t="e">
        <f>AND(PriceComparisonNormalised!C28,"AAAAAE/97xo=")</f>
        <v>#VALUE!</v>
      </c>
      <c r="AB8">
        <f>IF(PriceComparisonNormalised!29:29,"AAAAAE/97xs=",0)</f>
        <v>0</v>
      </c>
      <c r="AC8" t="e">
        <f>AND(PriceComparisonNormalised!A29,"AAAAAE/97xw=")</f>
        <v>#VALUE!</v>
      </c>
      <c r="AD8" t="e">
        <f>AND(PriceComparisonNormalised!B29,"AAAAAE/97x0=")</f>
        <v>#VALUE!</v>
      </c>
      <c r="AE8" t="e">
        <f>AND(PriceComparisonNormalised!C29,"AAAAAE/97x4=")</f>
        <v>#VALUE!</v>
      </c>
      <c r="AF8">
        <f>IF(PriceComparisonNormalised!30:30,"AAAAAE/97x8=",0)</f>
        <v>0</v>
      </c>
      <c r="AG8" t="e">
        <f>AND(PriceComparisonNormalised!A30,"AAAAAE/97yA=")</f>
        <v>#VALUE!</v>
      </c>
      <c r="AH8" t="e">
        <f>AND(PriceComparisonNormalised!B30,"AAAAAE/97yE=")</f>
        <v>#VALUE!</v>
      </c>
      <c r="AI8" t="e">
        <f>AND(PriceComparisonNormalised!C30,"AAAAAE/97yI=")</f>
        <v>#VALUE!</v>
      </c>
      <c r="AJ8">
        <f>IF(PriceComparisonNormalised!31:31,"AAAAAE/97yM=",0)</f>
        <v>0</v>
      </c>
      <c r="AK8" t="e">
        <f>AND(PriceComparisonNormalised!A31,"AAAAAE/97yQ=")</f>
        <v>#VALUE!</v>
      </c>
      <c r="AL8" t="e">
        <f>AND(PriceComparisonNormalised!B31,"AAAAAE/97yU=")</f>
        <v>#VALUE!</v>
      </c>
      <c r="AM8" t="e">
        <f>AND(PriceComparisonNormalised!C31,"AAAAAE/97yY=")</f>
        <v>#VALUE!</v>
      </c>
      <c r="AN8">
        <f>IF(PriceComparisonNormalised!32:32,"AAAAAE/97yc=",0)</f>
        <v>0</v>
      </c>
      <c r="AO8" t="e">
        <f>AND(PriceComparisonNormalised!A32,"AAAAAE/97yg=")</f>
        <v>#VALUE!</v>
      </c>
      <c r="AP8" t="e">
        <f>AND(PriceComparisonNormalised!B32,"AAAAAE/97yk=")</f>
        <v>#VALUE!</v>
      </c>
      <c r="AQ8" t="e">
        <f>AND(PriceComparisonNormalised!C32,"AAAAAE/97yo=")</f>
        <v>#VALUE!</v>
      </c>
      <c r="AR8">
        <f>IF(PriceComparisonNormalised!33:33,"AAAAAE/97ys=",0)</f>
        <v>0</v>
      </c>
      <c r="AS8" t="e">
        <f>AND(PriceComparisonNormalised!A33,"AAAAAE/97yw=")</f>
        <v>#VALUE!</v>
      </c>
      <c r="AT8" t="e">
        <f>AND(PriceComparisonNormalised!B33,"AAAAAE/97y0=")</f>
        <v>#VALUE!</v>
      </c>
      <c r="AU8" t="e">
        <f>AND(PriceComparisonNormalised!C33,"AAAAAE/97y4=")</f>
        <v>#VALUE!</v>
      </c>
      <c r="AV8">
        <f>IF(PriceComparisonNormalised!34:34,"AAAAAE/97y8=",0)</f>
        <v>0</v>
      </c>
      <c r="AW8" t="e">
        <f>AND(PriceComparisonNormalised!A34,"AAAAAE/97zA=")</f>
        <v>#VALUE!</v>
      </c>
      <c r="AX8" t="e">
        <f>AND(PriceComparisonNormalised!B34,"AAAAAE/97zE=")</f>
        <v>#VALUE!</v>
      </c>
      <c r="AY8" t="e">
        <f>AND(PriceComparisonNormalised!C34,"AAAAAE/97zI=")</f>
        <v>#VALUE!</v>
      </c>
      <c r="AZ8">
        <f>IF(PriceComparisonNormalised!35:35,"AAAAAE/97zM=",0)</f>
        <v>0</v>
      </c>
      <c r="BA8" t="e">
        <f>AND(PriceComparisonNormalised!A35,"AAAAAE/97zQ=")</f>
        <v>#VALUE!</v>
      </c>
      <c r="BB8" t="e">
        <f>AND(PriceComparisonNormalised!B35,"AAAAAE/97zU=")</f>
        <v>#VALUE!</v>
      </c>
      <c r="BC8" t="e">
        <f>AND(PriceComparisonNormalised!C35,"AAAAAE/97zY=")</f>
        <v>#VALUE!</v>
      </c>
      <c r="BD8">
        <f>IF(PriceComparisonNormalised!36:36,"AAAAAE/97zc=",0)</f>
        <v>0</v>
      </c>
      <c r="BE8" t="e">
        <f>AND(PriceComparisonNormalised!A36,"AAAAAE/97zg=")</f>
        <v>#VALUE!</v>
      </c>
      <c r="BF8" t="e">
        <f>AND(PriceComparisonNormalised!B36,"AAAAAE/97zk=")</f>
        <v>#VALUE!</v>
      </c>
      <c r="BG8" t="e">
        <f>AND(PriceComparisonNormalised!C36,"AAAAAE/97zo=")</f>
        <v>#VALUE!</v>
      </c>
      <c r="BH8">
        <f>IF(PriceComparisonNormalised!37:37,"AAAAAE/97zs=",0)</f>
        <v>0</v>
      </c>
      <c r="BI8" t="e">
        <f>AND(PriceComparisonNormalised!A37,"AAAAAE/97zw=")</f>
        <v>#VALUE!</v>
      </c>
      <c r="BJ8" t="e">
        <f>AND(PriceComparisonNormalised!B37,"AAAAAE/97z0=")</f>
        <v>#VALUE!</v>
      </c>
      <c r="BK8" t="e">
        <f>AND(PriceComparisonNormalised!C37,"AAAAAE/97z4=")</f>
        <v>#VALUE!</v>
      </c>
      <c r="BL8">
        <f>IF(PriceComparisonNormalised!38:38,"AAAAAE/97z8=",0)</f>
        <v>0</v>
      </c>
      <c r="BM8" t="e">
        <f>AND(PriceComparisonNormalised!A38,"AAAAAE/970A=")</f>
        <v>#VALUE!</v>
      </c>
      <c r="BN8" t="e">
        <f>AND(PriceComparisonNormalised!B38,"AAAAAE/970E=")</f>
        <v>#VALUE!</v>
      </c>
      <c r="BO8" t="e">
        <f>AND(PriceComparisonNormalised!C38,"AAAAAE/970I=")</f>
        <v>#VALUE!</v>
      </c>
      <c r="BP8">
        <f>IF(PriceComparisonNormalised!39:39,"AAAAAE/970M=",0)</f>
        <v>0</v>
      </c>
      <c r="BQ8" t="e">
        <f>AND(PriceComparisonNormalised!A39,"AAAAAE/970Q=")</f>
        <v>#VALUE!</v>
      </c>
      <c r="BR8" t="e">
        <f>AND(PriceComparisonNormalised!B39,"AAAAAE/970U=")</f>
        <v>#VALUE!</v>
      </c>
      <c r="BS8" t="e">
        <f>AND(PriceComparisonNormalised!C39,"AAAAAE/970Y=")</f>
        <v>#VALUE!</v>
      </c>
      <c r="BT8">
        <f>IF(PriceComparisonNormalised!40:40,"AAAAAE/970c=",0)</f>
        <v>0</v>
      </c>
      <c r="BU8" t="e">
        <f>AND(PriceComparisonNormalised!A40,"AAAAAE/970g=")</f>
        <v>#VALUE!</v>
      </c>
      <c r="BV8" t="e">
        <f>AND(PriceComparisonNormalised!B40,"AAAAAE/970k=")</f>
        <v>#VALUE!</v>
      </c>
      <c r="BW8" t="e">
        <f>AND(PriceComparisonNormalised!C40,"AAAAAE/970o=")</f>
        <v>#VALUE!</v>
      </c>
      <c r="BX8">
        <f>IF(PriceComparisonNormalised!41:41,"AAAAAE/970s=",0)</f>
        <v>0</v>
      </c>
      <c r="BY8" t="e">
        <f>AND(PriceComparisonNormalised!A41,"AAAAAE/970w=")</f>
        <v>#VALUE!</v>
      </c>
      <c r="BZ8" t="e">
        <f>AND(PriceComparisonNormalised!B41,"AAAAAE/9700=")</f>
        <v>#VALUE!</v>
      </c>
      <c r="CA8" t="e">
        <f>AND(PriceComparisonNormalised!C41,"AAAAAE/9704=")</f>
        <v>#VALUE!</v>
      </c>
      <c r="CB8">
        <f>IF(PriceComparisonNormalised!42:42,"AAAAAE/9708=",0)</f>
        <v>0</v>
      </c>
      <c r="CC8" t="e">
        <f>AND(PriceComparisonNormalised!A42,"AAAAAE/971A=")</f>
        <v>#VALUE!</v>
      </c>
      <c r="CD8" t="e">
        <f>AND(PriceComparisonNormalised!B42,"AAAAAE/971E=")</f>
        <v>#VALUE!</v>
      </c>
      <c r="CE8" t="e">
        <f>AND(PriceComparisonNormalised!C42,"AAAAAE/971I=")</f>
        <v>#VALUE!</v>
      </c>
      <c r="CF8">
        <f>IF(PriceComparisonNormalised!43:43,"AAAAAE/971M=",0)</f>
        <v>0</v>
      </c>
      <c r="CG8" t="e">
        <f>AND(PriceComparisonNormalised!A43,"AAAAAE/971Q=")</f>
        <v>#VALUE!</v>
      </c>
      <c r="CH8" t="e">
        <f>AND(PriceComparisonNormalised!B43,"AAAAAE/971U=")</f>
        <v>#VALUE!</v>
      </c>
      <c r="CI8" t="e">
        <f>AND(PriceComparisonNormalised!C43,"AAAAAE/971Y=")</f>
        <v>#VALUE!</v>
      </c>
      <c r="CJ8">
        <f>IF(PriceComparisonNormalised!44:44,"AAAAAE/971c=",0)</f>
        <v>0</v>
      </c>
      <c r="CK8" t="e">
        <f>AND(PriceComparisonNormalised!A44,"AAAAAE/971g=")</f>
        <v>#VALUE!</v>
      </c>
      <c r="CL8" t="e">
        <f>AND(PriceComparisonNormalised!B44,"AAAAAE/971k=")</f>
        <v>#VALUE!</v>
      </c>
      <c r="CM8" t="e">
        <f>AND(PriceComparisonNormalised!C44,"AAAAAE/971o=")</f>
        <v>#VALUE!</v>
      </c>
      <c r="CN8">
        <f>IF(PriceComparisonNormalised!45:45,"AAAAAE/971s=",0)</f>
        <v>0</v>
      </c>
      <c r="CO8" t="e">
        <f>AND(PriceComparisonNormalised!A45,"AAAAAE/971w=")</f>
        <v>#VALUE!</v>
      </c>
      <c r="CP8" t="e">
        <f>AND(PriceComparisonNormalised!B45,"AAAAAE/9710=")</f>
        <v>#VALUE!</v>
      </c>
      <c r="CQ8" t="e">
        <f>AND(PriceComparisonNormalised!C45,"AAAAAE/9714=")</f>
        <v>#VALUE!</v>
      </c>
      <c r="CR8">
        <f>IF(PriceComparisonNormalised!46:46,"AAAAAE/9718=",0)</f>
        <v>0</v>
      </c>
      <c r="CS8" t="e">
        <f>AND(PriceComparisonNormalised!A46,"AAAAAE/972A=")</f>
        <v>#VALUE!</v>
      </c>
      <c r="CT8" t="e">
        <f>AND(PriceComparisonNormalised!B46,"AAAAAE/972E=")</f>
        <v>#VALUE!</v>
      </c>
      <c r="CU8" t="e">
        <f>AND(PriceComparisonNormalised!C46,"AAAAAE/972I=")</f>
        <v>#VALUE!</v>
      </c>
      <c r="CV8">
        <f>IF(PriceComparisonNormalised!47:47,"AAAAAE/972M=",0)</f>
        <v>0</v>
      </c>
      <c r="CW8" t="e">
        <f>AND(PriceComparisonNormalised!A47,"AAAAAE/972Q=")</f>
        <v>#VALUE!</v>
      </c>
      <c r="CX8" t="e">
        <f>AND(PriceComparisonNormalised!B47,"AAAAAE/972U=")</f>
        <v>#VALUE!</v>
      </c>
      <c r="CY8" t="e">
        <f>AND(PriceComparisonNormalised!C47,"AAAAAE/972Y=")</f>
        <v>#VALUE!</v>
      </c>
      <c r="CZ8">
        <f>IF(PriceComparisonNormalised!48:48,"AAAAAE/972c=",0)</f>
        <v>0</v>
      </c>
      <c r="DA8" t="e">
        <f>AND(PriceComparisonNormalised!A48,"AAAAAE/972g=")</f>
        <v>#VALUE!</v>
      </c>
      <c r="DB8" t="e">
        <f>AND(PriceComparisonNormalised!B48,"AAAAAE/972k=")</f>
        <v>#VALUE!</v>
      </c>
      <c r="DC8" t="e">
        <f>AND(PriceComparisonNormalised!C48,"AAAAAE/972o=")</f>
        <v>#VALUE!</v>
      </c>
      <c r="DD8">
        <f>IF(PriceComparisonNormalised!49:49,"AAAAAE/972s=",0)</f>
        <v>0</v>
      </c>
      <c r="DE8" t="e">
        <f>AND(PriceComparisonNormalised!A49,"AAAAAE/972w=")</f>
        <v>#VALUE!</v>
      </c>
      <c r="DF8" t="e">
        <f>AND(PriceComparisonNormalised!B49,"AAAAAE/9720=")</f>
        <v>#VALUE!</v>
      </c>
      <c r="DG8" t="e">
        <f>AND(PriceComparisonNormalised!C49,"AAAAAE/9724=")</f>
        <v>#VALUE!</v>
      </c>
      <c r="DH8">
        <f>IF(PriceComparisonNormalised!50:50,"AAAAAE/9728=",0)</f>
        <v>0</v>
      </c>
      <c r="DI8" t="e">
        <f>AND(PriceComparisonNormalised!A50,"AAAAAE/973A=")</f>
        <v>#VALUE!</v>
      </c>
      <c r="DJ8" t="e">
        <f>AND(PriceComparisonNormalised!B50,"AAAAAE/973E=")</f>
        <v>#VALUE!</v>
      </c>
      <c r="DK8" t="e">
        <f>AND(PriceComparisonNormalised!C50,"AAAAAE/973I=")</f>
        <v>#VALUE!</v>
      </c>
      <c r="DL8">
        <f>IF(PriceComparisonNormalised!51:51,"AAAAAE/973M=",0)</f>
        <v>0</v>
      </c>
      <c r="DM8" t="e">
        <f>AND(PriceComparisonNormalised!A51,"AAAAAE/973Q=")</f>
        <v>#VALUE!</v>
      </c>
      <c r="DN8" t="e">
        <f>AND(PriceComparisonNormalised!B51,"AAAAAE/973U=")</f>
        <v>#VALUE!</v>
      </c>
      <c r="DO8" t="e">
        <f>AND(PriceComparisonNormalised!C51,"AAAAAE/973Y=")</f>
        <v>#VALUE!</v>
      </c>
      <c r="DP8">
        <f>IF(PriceComparisonNormalised!52:52,"AAAAAE/973c=",0)</f>
        <v>0</v>
      </c>
      <c r="DQ8" t="e">
        <f>AND(PriceComparisonNormalised!A52,"AAAAAE/973g=")</f>
        <v>#VALUE!</v>
      </c>
      <c r="DR8" t="e">
        <f>AND(PriceComparisonNormalised!B52,"AAAAAE/973k=")</f>
        <v>#VALUE!</v>
      </c>
      <c r="DS8" t="e">
        <f>AND(PriceComparisonNormalised!C52,"AAAAAE/973o=")</f>
        <v>#VALUE!</v>
      </c>
      <c r="DT8">
        <f>IF(PriceComparisonNormalised!53:53,"AAAAAE/973s=",0)</f>
        <v>0</v>
      </c>
      <c r="DU8" t="e">
        <f>AND(PriceComparisonNormalised!A53,"AAAAAE/973w=")</f>
        <v>#VALUE!</v>
      </c>
      <c r="DV8" t="e">
        <f>AND(PriceComparisonNormalised!B53,"AAAAAE/9730=")</f>
        <v>#VALUE!</v>
      </c>
      <c r="DW8" t="e">
        <f>AND(PriceComparisonNormalised!C53,"AAAAAE/9734=")</f>
        <v>#VALUE!</v>
      </c>
      <c r="DX8">
        <f>IF(PriceComparisonNormalised!54:54,"AAAAAE/9738=",0)</f>
        <v>0</v>
      </c>
      <c r="DY8" t="e">
        <f>AND(PriceComparisonNormalised!A54,"AAAAAE/974A=")</f>
        <v>#VALUE!</v>
      </c>
      <c r="DZ8" t="e">
        <f>AND(PriceComparisonNormalised!B54,"AAAAAE/974E=")</f>
        <v>#VALUE!</v>
      </c>
      <c r="EA8" t="e">
        <f>AND(PriceComparisonNormalised!C54,"AAAAAE/974I=")</f>
        <v>#VALUE!</v>
      </c>
      <c r="EB8">
        <f>IF(PriceComparisonNormalised!55:55,"AAAAAE/974M=",0)</f>
        <v>0</v>
      </c>
      <c r="EC8" t="e">
        <f>AND(PriceComparisonNormalised!A55,"AAAAAE/974Q=")</f>
        <v>#VALUE!</v>
      </c>
      <c r="ED8" t="e">
        <f>AND(PriceComparisonNormalised!B55,"AAAAAE/974U=")</f>
        <v>#VALUE!</v>
      </c>
      <c r="EE8" t="e">
        <f>AND(PriceComparisonNormalised!C55,"AAAAAE/974Y=")</f>
        <v>#VALUE!</v>
      </c>
      <c r="EF8">
        <f>IF(PriceComparisonNormalised!56:56,"AAAAAE/974c=",0)</f>
        <v>0</v>
      </c>
      <c r="EG8" t="e">
        <f>AND(PriceComparisonNormalised!A56,"AAAAAE/974g=")</f>
        <v>#VALUE!</v>
      </c>
      <c r="EH8" t="e">
        <f>AND(PriceComparisonNormalised!B56,"AAAAAE/974k=")</f>
        <v>#VALUE!</v>
      </c>
      <c r="EI8" t="e">
        <f>AND(PriceComparisonNormalised!C56,"AAAAAE/974o=")</f>
        <v>#VALUE!</v>
      </c>
      <c r="EJ8">
        <f>IF(PriceComparisonNormalised!57:57,"AAAAAE/974s=",0)</f>
        <v>0</v>
      </c>
      <c r="EK8" t="e">
        <f>AND(PriceComparisonNormalised!A57,"AAAAAE/974w=")</f>
        <v>#VALUE!</v>
      </c>
      <c r="EL8" t="e">
        <f>AND(PriceComparisonNormalised!B57,"AAAAAE/9740=")</f>
        <v>#VALUE!</v>
      </c>
      <c r="EM8" t="e">
        <f>AND(PriceComparisonNormalised!C57,"AAAAAE/9744=")</f>
        <v>#VALUE!</v>
      </c>
      <c r="EN8">
        <f>IF(PriceComparisonNormalised!58:58,"AAAAAE/9748=",0)</f>
        <v>0</v>
      </c>
      <c r="EO8" t="e">
        <f>AND(PriceComparisonNormalised!A58,"AAAAAE/975A=")</f>
        <v>#VALUE!</v>
      </c>
      <c r="EP8" t="e">
        <f>AND(PriceComparisonNormalised!B58,"AAAAAE/975E=")</f>
        <v>#VALUE!</v>
      </c>
      <c r="EQ8" t="e">
        <f>AND(PriceComparisonNormalised!C58,"AAAAAE/975I=")</f>
        <v>#VALUE!</v>
      </c>
      <c r="ER8">
        <f>IF(PriceComparisonNormalised!59:59,"AAAAAE/975M=",0)</f>
        <v>0</v>
      </c>
      <c r="ES8" t="e">
        <f>AND(PriceComparisonNormalised!A59,"AAAAAE/975Q=")</f>
        <v>#VALUE!</v>
      </c>
      <c r="ET8" t="e">
        <f>AND(PriceComparisonNormalised!B59,"AAAAAE/975U=")</f>
        <v>#VALUE!</v>
      </c>
      <c r="EU8" t="e">
        <f>AND(PriceComparisonNormalised!C59,"AAAAAE/975Y=")</f>
        <v>#VALUE!</v>
      </c>
      <c r="EV8">
        <f>IF(PriceComparisonNormalised!60:60,"AAAAAE/975c=",0)</f>
        <v>0</v>
      </c>
      <c r="EW8" t="e">
        <f>AND(PriceComparisonNormalised!A60,"AAAAAE/975g=")</f>
        <v>#VALUE!</v>
      </c>
      <c r="EX8" t="e">
        <f>AND(PriceComparisonNormalised!B60,"AAAAAE/975k=")</f>
        <v>#VALUE!</v>
      </c>
      <c r="EY8" t="e">
        <f>AND(PriceComparisonNormalised!C60,"AAAAAE/975o=")</f>
        <v>#VALUE!</v>
      </c>
      <c r="EZ8">
        <f>IF(PriceComparisonNormalised!61:61,"AAAAAE/975s=",0)</f>
        <v>0</v>
      </c>
      <c r="FA8" t="e">
        <f>AND(PriceComparisonNormalised!A61,"AAAAAE/975w=")</f>
        <v>#VALUE!</v>
      </c>
      <c r="FB8" t="e">
        <f>AND(PriceComparisonNormalised!B61,"AAAAAE/9750=")</f>
        <v>#VALUE!</v>
      </c>
      <c r="FC8" t="e">
        <f>AND(PriceComparisonNormalised!C61,"AAAAAE/9754=")</f>
        <v>#VALUE!</v>
      </c>
      <c r="FD8">
        <f>IF(PriceComparisonNormalised!62:62,"AAAAAE/9758=",0)</f>
        <v>0</v>
      </c>
      <c r="FE8" t="e">
        <f>AND(PriceComparisonNormalised!A62,"AAAAAE/976A=")</f>
        <v>#VALUE!</v>
      </c>
      <c r="FF8" t="e">
        <f>AND(PriceComparisonNormalised!B62,"AAAAAE/976E=")</f>
        <v>#VALUE!</v>
      </c>
      <c r="FG8" t="e">
        <f>AND(PriceComparisonNormalised!C62,"AAAAAE/976I=")</f>
        <v>#VALUE!</v>
      </c>
      <c r="FH8">
        <f>IF(PriceComparisonNormalised!63:63,"AAAAAE/976M=",0)</f>
        <v>0</v>
      </c>
      <c r="FI8" t="e">
        <f>AND(PriceComparisonNormalised!A63,"AAAAAE/976Q=")</f>
        <v>#VALUE!</v>
      </c>
      <c r="FJ8" t="e">
        <f>AND(PriceComparisonNormalised!B63,"AAAAAE/976U=")</f>
        <v>#VALUE!</v>
      </c>
      <c r="FK8" t="e">
        <f>AND(PriceComparisonNormalised!C63,"AAAAAE/976Y=")</f>
        <v>#VALUE!</v>
      </c>
      <c r="FL8">
        <f>IF(PriceComparisonNormalised!64:64,"AAAAAE/976c=",0)</f>
        <v>0</v>
      </c>
      <c r="FM8" t="e">
        <f>AND(PriceComparisonNormalised!A64,"AAAAAE/976g=")</f>
        <v>#VALUE!</v>
      </c>
      <c r="FN8" t="e">
        <f>AND(PriceComparisonNormalised!B64,"AAAAAE/976k=")</f>
        <v>#VALUE!</v>
      </c>
      <c r="FO8" t="e">
        <f>AND(PriceComparisonNormalised!C64,"AAAAAE/976o=")</f>
        <v>#VALUE!</v>
      </c>
      <c r="FP8">
        <f>IF(PriceComparisonNormalised!65:65,"AAAAAE/976s=",0)</f>
        <v>0</v>
      </c>
      <c r="FQ8" t="e">
        <f>AND(PriceComparisonNormalised!A65,"AAAAAE/976w=")</f>
        <v>#VALUE!</v>
      </c>
      <c r="FR8" t="e">
        <f>AND(PriceComparisonNormalised!B65,"AAAAAE/9760=")</f>
        <v>#VALUE!</v>
      </c>
      <c r="FS8" t="e">
        <f>AND(PriceComparisonNormalised!C65,"AAAAAE/9764=")</f>
        <v>#VALUE!</v>
      </c>
      <c r="FT8">
        <f>IF(PriceComparisonNormalised!66:66,"AAAAAE/9768=",0)</f>
        <v>0</v>
      </c>
      <c r="FU8" t="e">
        <f>AND(PriceComparisonNormalised!A66,"AAAAAE/977A=")</f>
        <v>#VALUE!</v>
      </c>
      <c r="FV8" t="e">
        <f>AND(PriceComparisonNormalised!B66,"AAAAAE/977E=")</f>
        <v>#VALUE!</v>
      </c>
      <c r="FW8" t="e">
        <f>AND(PriceComparisonNormalised!C66,"AAAAAE/977I=")</f>
        <v>#VALUE!</v>
      </c>
      <c r="FX8">
        <f>IF(PriceComparisonNormalised!67:67,"AAAAAE/977M=",0)</f>
        <v>0</v>
      </c>
      <c r="FY8" t="e">
        <f>AND(PriceComparisonNormalised!A67,"AAAAAE/977Q=")</f>
        <v>#VALUE!</v>
      </c>
      <c r="FZ8" t="e">
        <f>AND(PriceComparisonNormalised!B67,"AAAAAE/977U=")</f>
        <v>#VALUE!</v>
      </c>
      <c r="GA8" t="e">
        <f>AND(PriceComparisonNormalised!C67,"AAAAAE/977Y=")</f>
        <v>#VALUE!</v>
      </c>
      <c r="GB8">
        <f>IF(PriceComparisonNormalised!68:68,"AAAAAE/977c=",0)</f>
        <v>0</v>
      </c>
      <c r="GC8" t="e">
        <f>AND(PriceComparisonNormalised!A68,"AAAAAE/977g=")</f>
        <v>#VALUE!</v>
      </c>
      <c r="GD8" t="e">
        <f>AND(PriceComparisonNormalised!B68,"AAAAAE/977k=")</f>
        <v>#VALUE!</v>
      </c>
      <c r="GE8" t="e">
        <f>AND(PriceComparisonNormalised!C68,"AAAAAE/977o=")</f>
        <v>#VALUE!</v>
      </c>
      <c r="GF8">
        <f>IF(PriceComparisonNormalised!69:69,"AAAAAE/977s=",0)</f>
        <v>0</v>
      </c>
      <c r="GG8" t="e">
        <f>AND(PriceComparisonNormalised!A69,"AAAAAE/977w=")</f>
        <v>#VALUE!</v>
      </c>
      <c r="GH8" t="e">
        <f>AND(PriceComparisonNormalised!B69,"AAAAAE/9770=")</f>
        <v>#VALUE!</v>
      </c>
      <c r="GI8" t="e">
        <f>AND(PriceComparisonNormalised!C69,"AAAAAE/9774=")</f>
        <v>#VALUE!</v>
      </c>
      <c r="GJ8">
        <f>IF(PriceComparisonNormalised!70:70,"AAAAAE/9778=",0)</f>
        <v>0</v>
      </c>
      <c r="GK8" t="e">
        <f>AND(PriceComparisonNormalised!A70,"AAAAAE/978A=")</f>
        <v>#VALUE!</v>
      </c>
      <c r="GL8" t="e">
        <f>AND(PriceComparisonNormalised!B70,"AAAAAE/978E=")</f>
        <v>#VALUE!</v>
      </c>
      <c r="GM8" t="e">
        <f>AND(PriceComparisonNormalised!C70,"AAAAAE/978I=")</f>
        <v>#VALUE!</v>
      </c>
      <c r="GN8">
        <f>IF(PriceComparisonNormalised!71:71,"AAAAAE/978M=",0)</f>
        <v>0</v>
      </c>
      <c r="GO8" t="e">
        <f>AND(PriceComparisonNormalised!A71,"AAAAAE/978Q=")</f>
        <v>#VALUE!</v>
      </c>
      <c r="GP8" t="e">
        <f>AND(PriceComparisonNormalised!B71,"AAAAAE/978U=")</f>
        <v>#VALUE!</v>
      </c>
      <c r="GQ8" t="e">
        <f>AND(PriceComparisonNormalised!C71,"AAAAAE/978Y=")</f>
        <v>#VALUE!</v>
      </c>
      <c r="GR8">
        <f>IF(PriceComparisonNormalised!72:72,"AAAAAE/978c=",0)</f>
        <v>0</v>
      </c>
      <c r="GS8" t="e">
        <f>AND(PriceComparisonNormalised!A72,"AAAAAE/978g=")</f>
        <v>#VALUE!</v>
      </c>
      <c r="GT8" t="e">
        <f>AND(PriceComparisonNormalised!B72,"AAAAAE/978k=")</f>
        <v>#VALUE!</v>
      </c>
      <c r="GU8" t="e">
        <f>AND(PriceComparisonNormalised!C72,"AAAAAE/978o=")</f>
        <v>#VALUE!</v>
      </c>
      <c r="GV8">
        <f>IF(PriceComparisonNormalised!73:73,"AAAAAE/978s=",0)</f>
        <v>0</v>
      </c>
      <c r="GW8" t="e">
        <f>AND(PriceComparisonNormalised!A73,"AAAAAE/978w=")</f>
        <v>#VALUE!</v>
      </c>
      <c r="GX8" t="e">
        <f>AND(PriceComparisonNormalised!B73,"AAAAAE/9780=")</f>
        <v>#VALUE!</v>
      </c>
      <c r="GY8" t="e">
        <f>AND(PriceComparisonNormalised!C73,"AAAAAE/9784=")</f>
        <v>#VALUE!</v>
      </c>
      <c r="GZ8">
        <f>IF(PriceComparisonNormalised!74:74,"AAAAAE/9788=",0)</f>
        <v>0</v>
      </c>
      <c r="HA8" t="e">
        <f>AND(PriceComparisonNormalised!A74,"AAAAAE/979A=")</f>
        <v>#VALUE!</v>
      </c>
      <c r="HB8" t="e">
        <f>AND(PriceComparisonNormalised!B74,"AAAAAE/979E=")</f>
        <v>#VALUE!</v>
      </c>
      <c r="HC8" t="e">
        <f>AND(PriceComparisonNormalised!C74,"AAAAAE/979I=")</f>
        <v>#VALUE!</v>
      </c>
      <c r="HD8">
        <f>IF(PriceComparisonNormalised!75:75,"AAAAAE/979M=",0)</f>
        <v>0</v>
      </c>
      <c r="HE8" t="e">
        <f>AND(PriceComparisonNormalised!A75,"AAAAAE/979Q=")</f>
        <v>#VALUE!</v>
      </c>
      <c r="HF8" t="e">
        <f>AND(PriceComparisonNormalised!B75,"AAAAAE/979U=")</f>
        <v>#VALUE!</v>
      </c>
      <c r="HG8" t="e">
        <f>AND(PriceComparisonNormalised!C75,"AAAAAE/979Y=")</f>
        <v>#VALUE!</v>
      </c>
      <c r="HH8">
        <f>IF(PriceComparisonNormalised!76:76,"AAAAAE/979c=",0)</f>
        <v>0</v>
      </c>
      <c r="HI8" t="e">
        <f>AND(PriceComparisonNormalised!A76,"AAAAAE/979g=")</f>
        <v>#VALUE!</v>
      </c>
      <c r="HJ8" t="e">
        <f>AND(PriceComparisonNormalised!B76,"AAAAAE/979k=")</f>
        <v>#VALUE!</v>
      </c>
      <c r="HK8" t="e">
        <f>AND(PriceComparisonNormalised!C76,"AAAAAE/979o=")</f>
        <v>#VALUE!</v>
      </c>
      <c r="HL8">
        <f>IF(PriceComparisonNormalised!77:77,"AAAAAE/979s=",0)</f>
        <v>0</v>
      </c>
      <c r="HM8" t="e">
        <f>AND(PriceComparisonNormalised!A77,"AAAAAE/979w=")</f>
        <v>#VALUE!</v>
      </c>
      <c r="HN8" t="e">
        <f>AND(PriceComparisonNormalised!B77,"AAAAAE/9790=")</f>
        <v>#VALUE!</v>
      </c>
      <c r="HO8" t="e">
        <f>AND(PriceComparisonNormalised!C77,"AAAAAE/9794=")</f>
        <v>#VALUE!</v>
      </c>
      <c r="HP8">
        <f>IF(PriceComparisonNormalised!78:78,"AAAAAE/9798=",0)</f>
        <v>0</v>
      </c>
      <c r="HQ8" t="e">
        <f>AND(PriceComparisonNormalised!A78,"AAAAAE/97+A=")</f>
        <v>#VALUE!</v>
      </c>
      <c r="HR8" t="e">
        <f>AND(PriceComparisonNormalised!B78,"AAAAAE/97+E=")</f>
        <v>#VALUE!</v>
      </c>
      <c r="HS8" t="e">
        <f>AND(PriceComparisonNormalised!C78,"AAAAAE/97+I=")</f>
        <v>#VALUE!</v>
      </c>
      <c r="HT8">
        <f>IF(PriceComparisonNormalised!79:79,"AAAAAE/97+M=",0)</f>
        <v>0</v>
      </c>
      <c r="HU8" t="e">
        <f>AND(PriceComparisonNormalised!A79,"AAAAAE/97+Q=")</f>
        <v>#VALUE!</v>
      </c>
      <c r="HV8" t="e">
        <f>AND(PriceComparisonNormalised!B79,"AAAAAE/97+U=")</f>
        <v>#VALUE!</v>
      </c>
      <c r="HW8" t="e">
        <f>AND(PriceComparisonNormalised!C79,"AAAAAE/97+Y=")</f>
        <v>#VALUE!</v>
      </c>
      <c r="HX8">
        <f>IF(PriceComparisonNormalised!80:80,"AAAAAE/97+c=",0)</f>
        <v>0</v>
      </c>
      <c r="HY8" t="e">
        <f>AND(PriceComparisonNormalised!A80,"AAAAAE/97+g=")</f>
        <v>#VALUE!</v>
      </c>
      <c r="HZ8" t="e">
        <f>AND(PriceComparisonNormalised!B80,"AAAAAE/97+k=")</f>
        <v>#VALUE!</v>
      </c>
      <c r="IA8" t="e">
        <f>AND(PriceComparisonNormalised!C80,"AAAAAE/97+o=")</f>
        <v>#VALUE!</v>
      </c>
      <c r="IB8">
        <f>IF(PriceComparisonNormalised!81:81,"AAAAAE/97+s=",0)</f>
        <v>0</v>
      </c>
      <c r="IC8" t="e">
        <f>AND(PriceComparisonNormalised!A81,"AAAAAE/97+w=")</f>
        <v>#VALUE!</v>
      </c>
      <c r="ID8" t="e">
        <f>AND(PriceComparisonNormalised!B81,"AAAAAE/97+0=")</f>
        <v>#VALUE!</v>
      </c>
      <c r="IE8" t="e">
        <f>AND(PriceComparisonNormalised!C81,"AAAAAE/97+4=")</f>
        <v>#VALUE!</v>
      </c>
      <c r="IF8">
        <f>IF(PriceComparisonNormalised!82:82,"AAAAAE/97+8=",0)</f>
        <v>0</v>
      </c>
      <c r="IG8" t="e">
        <f>AND(PriceComparisonNormalised!A82,"AAAAAE/97/A=")</f>
        <v>#VALUE!</v>
      </c>
      <c r="IH8" t="e">
        <f>AND(PriceComparisonNormalised!B82,"AAAAAE/97/E=")</f>
        <v>#VALUE!</v>
      </c>
      <c r="II8" t="e">
        <f>AND(PriceComparisonNormalised!C82,"AAAAAE/97/I=")</f>
        <v>#VALUE!</v>
      </c>
      <c r="IJ8">
        <f>IF(PriceComparisonNormalised!83:83,"AAAAAE/97/M=",0)</f>
        <v>0</v>
      </c>
      <c r="IK8" t="e">
        <f>AND(PriceComparisonNormalised!A83,"AAAAAE/97/Q=")</f>
        <v>#VALUE!</v>
      </c>
      <c r="IL8" t="e">
        <f>AND(PriceComparisonNormalised!B83,"AAAAAE/97/U=")</f>
        <v>#VALUE!</v>
      </c>
      <c r="IM8" t="e">
        <f>AND(PriceComparisonNormalised!C83,"AAAAAE/97/Y=")</f>
        <v>#VALUE!</v>
      </c>
      <c r="IN8">
        <f>IF(PriceComparisonNormalised!84:84,"AAAAAE/97/c=",0)</f>
        <v>0</v>
      </c>
      <c r="IO8" t="e">
        <f>AND(PriceComparisonNormalised!A84,"AAAAAE/97/g=")</f>
        <v>#VALUE!</v>
      </c>
      <c r="IP8" t="e">
        <f>AND(PriceComparisonNormalised!B84,"AAAAAE/97/k=")</f>
        <v>#VALUE!</v>
      </c>
      <c r="IQ8" t="e">
        <f>AND(PriceComparisonNormalised!C84,"AAAAAE/97/o=")</f>
        <v>#VALUE!</v>
      </c>
      <c r="IR8">
        <f>IF(PriceComparisonNormalised!85:85,"AAAAAE/97/s=",0)</f>
        <v>0</v>
      </c>
      <c r="IS8" t="e">
        <f>AND(PriceComparisonNormalised!A85,"AAAAAE/97/w=")</f>
        <v>#VALUE!</v>
      </c>
      <c r="IT8" t="e">
        <f>AND(PriceComparisonNormalised!B85,"AAAAAE/97/0=")</f>
        <v>#VALUE!</v>
      </c>
      <c r="IU8" t="e">
        <f>AND(PriceComparisonNormalised!C85,"AAAAAE/97/4=")</f>
        <v>#VALUE!</v>
      </c>
      <c r="IV8">
        <f>IF(PriceComparisonNormalised!86:86,"AAAAAE/97/8=",0)</f>
        <v>0</v>
      </c>
    </row>
    <row r="9" spans="1:256" x14ac:dyDescent="0.25">
      <c r="A9" t="e">
        <f>AND(PriceComparisonNormalised!A86,"AAAAAG3vnQA=")</f>
        <v>#VALUE!</v>
      </c>
      <c r="B9" t="e">
        <f>AND(PriceComparisonNormalised!B86,"AAAAAG3vnQE=")</f>
        <v>#VALUE!</v>
      </c>
      <c r="C9" t="e">
        <f>AND(PriceComparisonNormalised!C86,"AAAAAG3vnQI=")</f>
        <v>#VALUE!</v>
      </c>
      <c r="D9">
        <f>IF(PriceComparisonNormalised!87:87,"AAAAAG3vnQM=",0)</f>
        <v>0</v>
      </c>
      <c r="E9" t="e">
        <f>AND(PriceComparisonNormalised!A87,"AAAAAG3vnQQ=")</f>
        <v>#VALUE!</v>
      </c>
      <c r="F9" t="e">
        <f>AND(PriceComparisonNormalised!B87,"AAAAAG3vnQU=")</f>
        <v>#VALUE!</v>
      </c>
      <c r="G9" t="e">
        <f>AND(PriceComparisonNormalised!C87,"AAAAAG3vnQY=")</f>
        <v>#VALUE!</v>
      </c>
      <c r="H9">
        <f>IF(PriceComparisonNormalised!88:88,"AAAAAG3vnQc=",0)</f>
        <v>0</v>
      </c>
      <c r="I9" t="e">
        <f>AND(PriceComparisonNormalised!A88,"AAAAAG3vnQg=")</f>
        <v>#VALUE!</v>
      </c>
      <c r="J9" t="e">
        <f>AND(PriceComparisonNormalised!B88,"AAAAAG3vnQk=")</f>
        <v>#VALUE!</v>
      </c>
      <c r="K9" t="e">
        <f>AND(PriceComparisonNormalised!C88,"AAAAAG3vnQo=")</f>
        <v>#VALUE!</v>
      </c>
      <c r="L9">
        <f>IF(PriceComparisonNormalised!89:89,"AAAAAG3vnQs=",0)</f>
        <v>0</v>
      </c>
      <c r="M9" t="e">
        <f>AND(PriceComparisonNormalised!A89,"AAAAAG3vnQw=")</f>
        <v>#VALUE!</v>
      </c>
      <c r="N9" t="e">
        <f>AND(PriceComparisonNormalised!B89,"AAAAAG3vnQ0=")</f>
        <v>#VALUE!</v>
      </c>
      <c r="O9" t="e">
        <f>AND(PriceComparisonNormalised!C89,"AAAAAG3vnQ4=")</f>
        <v>#VALUE!</v>
      </c>
      <c r="P9">
        <f>IF(PriceComparisonNormalised!90:90,"AAAAAG3vnQ8=",0)</f>
        <v>0</v>
      </c>
      <c r="Q9" t="e">
        <f>AND(PriceComparisonNormalised!A90,"AAAAAG3vnRA=")</f>
        <v>#VALUE!</v>
      </c>
      <c r="R9" t="e">
        <f>AND(PriceComparisonNormalised!B90,"AAAAAG3vnRE=")</f>
        <v>#VALUE!</v>
      </c>
      <c r="S9" t="e">
        <f>AND(PriceComparisonNormalised!C90,"AAAAAG3vnRI=")</f>
        <v>#VALUE!</v>
      </c>
      <c r="T9">
        <f>IF(PriceComparisonNormalised!91:91,"AAAAAG3vnRM=",0)</f>
        <v>0</v>
      </c>
      <c r="U9" t="e">
        <f>AND(PriceComparisonNormalised!A91,"AAAAAG3vnRQ=")</f>
        <v>#VALUE!</v>
      </c>
      <c r="V9" t="e">
        <f>AND(PriceComparisonNormalised!B91,"AAAAAG3vnRU=")</f>
        <v>#VALUE!</v>
      </c>
      <c r="W9" t="e">
        <f>AND(PriceComparisonNormalised!C91,"AAAAAG3vnRY=")</f>
        <v>#VALUE!</v>
      </c>
      <c r="X9">
        <f>IF(PriceComparisonNormalised!92:92,"AAAAAG3vnRc=",0)</f>
        <v>0</v>
      </c>
      <c r="Y9" t="e">
        <f>AND(PriceComparisonNormalised!A92,"AAAAAG3vnRg=")</f>
        <v>#VALUE!</v>
      </c>
      <c r="Z9" t="e">
        <f>AND(PriceComparisonNormalised!B92,"AAAAAG3vnRk=")</f>
        <v>#VALUE!</v>
      </c>
      <c r="AA9" t="e">
        <f>AND(PriceComparisonNormalised!C92,"AAAAAG3vnRo=")</f>
        <v>#VALUE!</v>
      </c>
      <c r="AB9">
        <f>IF(PriceComparisonNormalised!93:93,"AAAAAG3vnRs=",0)</f>
        <v>0</v>
      </c>
      <c r="AC9" t="e">
        <f>AND(PriceComparisonNormalised!A93,"AAAAAG3vnRw=")</f>
        <v>#VALUE!</v>
      </c>
      <c r="AD9" t="e">
        <f>AND(PriceComparisonNormalised!B93,"AAAAAG3vnR0=")</f>
        <v>#VALUE!</v>
      </c>
      <c r="AE9" t="e">
        <f>AND(PriceComparisonNormalised!C93,"AAAAAG3vnR4=")</f>
        <v>#VALUE!</v>
      </c>
      <c r="AF9">
        <f>IF(PriceComparisonNormalised!94:94,"AAAAAG3vnR8=",0)</f>
        <v>0</v>
      </c>
      <c r="AG9" t="e">
        <f>AND(PriceComparisonNormalised!A94,"AAAAAG3vnSA=")</f>
        <v>#VALUE!</v>
      </c>
      <c r="AH9" t="e">
        <f>AND(PriceComparisonNormalised!B94,"AAAAAG3vnSE=")</f>
        <v>#VALUE!</v>
      </c>
      <c r="AI9" t="e">
        <f>AND(PriceComparisonNormalised!C94,"AAAAAG3vnSI=")</f>
        <v>#VALUE!</v>
      </c>
      <c r="AJ9">
        <f>IF(PriceComparisonNormalised!95:95,"AAAAAG3vnSM=",0)</f>
        <v>0</v>
      </c>
      <c r="AK9" t="e">
        <f>AND(PriceComparisonNormalised!A95,"AAAAAG3vnSQ=")</f>
        <v>#VALUE!</v>
      </c>
      <c r="AL9" t="e">
        <f>AND(PriceComparisonNormalised!B95,"AAAAAG3vnSU=")</f>
        <v>#VALUE!</v>
      </c>
      <c r="AM9" t="e">
        <f>AND(PriceComparisonNormalised!C95,"AAAAAG3vnSY=")</f>
        <v>#VALUE!</v>
      </c>
      <c r="AN9">
        <f>IF(PriceComparisonNormalised!96:96,"AAAAAG3vnSc=",0)</f>
        <v>0</v>
      </c>
      <c r="AO9" t="e">
        <f>AND(PriceComparisonNormalised!A96,"AAAAAG3vnSg=")</f>
        <v>#VALUE!</v>
      </c>
      <c r="AP9" t="e">
        <f>AND(PriceComparisonNormalised!B96,"AAAAAG3vnSk=")</f>
        <v>#VALUE!</v>
      </c>
      <c r="AQ9" t="e">
        <f>AND(PriceComparisonNormalised!C96,"AAAAAG3vnSo=")</f>
        <v>#VALUE!</v>
      </c>
      <c r="AR9">
        <f>IF(PriceComparisonNormalised!97:97,"AAAAAG3vnSs=",0)</f>
        <v>0</v>
      </c>
      <c r="AS9" t="e">
        <f>AND(PriceComparisonNormalised!A97,"AAAAAG3vnSw=")</f>
        <v>#VALUE!</v>
      </c>
      <c r="AT9" t="e">
        <f>AND(PriceComparisonNormalised!B97,"AAAAAG3vnS0=")</f>
        <v>#VALUE!</v>
      </c>
      <c r="AU9" t="e">
        <f>AND(PriceComparisonNormalised!C97,"AAAAAG3vnS4=")</f>
        <v>#VALUE!</v>
      </c>
      <c r="AV9">
        <f>IF(PriceComparisonNormalised!98:98,"AAAAAG3vnS8=",0)</f>
        <v>0</v>
      </c>
      <c r="AW9" t="e">
        <f>AND(PriceComparisonNormalised!A98,"AAAAAG3vnTA=")</f>
        <v>#VALUE!</v>
      </c>
      <c r="AX9" t="e">
        <f>AND(PriceComparisonNormalised!B98,"AAAAAG3vnTE=")</f>
        <v>#VALUE!</v>
      </c>
      <c r="AY9" t="e">
        <f>AND(PriceComparisonNormalised!C98,"AAAAAG3vnTI=")</f>
        <v>#VALUE!</v>
      </c>
      <c r="AZ9">
        <f>IF(PriceComparisonNormalised!99:99,"AAAAAG3vnTM=",0)</f>
        <v>0</v>
      </c>
      <c r="BA9" t="e">
        <f>AND(PriceComparisonNormalised!A99,"AAAAAG3vnTQ=")</f>
        <v>#VALUE!</v>
      </c>
      <c r="BB9" t="e">
        <f>AND(PriceComparisonNormalised!B99,"AAAAAG3vnTU=")</f>
        <v>#VALUE!</v>
      </c>
      <c r="BC9" t="e">
        <f>AND(PriceComparisonNormalised!C99,"AAAAAG3vnTY=")</f>
        <v>#VALUE!</v>
      </c>
      <c r="BD9">
        <f>IF(PriceComparisonNormalised!100:100,"AAAAAG3vnTc=",0)</f>
        <v>0</v>
      </c>
      <c r="BE9" t="e">
        <f>AND(PriceComparisonNormalised!A100,"AAAAAG3vnTg=")</f>
        <v>#VALUE!</v>
      </c>
      <c r="BF9" t="e">
        <f>AND(PriceComparisonNormalised!B100,"AAAAAG3vnTk=")</f>
        <v>#VALUE!</v>
      </c>
      <c r="BG9" t="e">
        <f>AND(PriceComparisonNormalised!C100,"AAAAAG3vnTo=")</f>
        <v>#VALUE!</v>
      </c>
      <c r="BH9">
        <f>IF(PriceComparisonNormalised!101:101,"AAAAAG3vnTs=",0)</f>
        <v>0</v>
      </c>
      <c r="BI9" t="e">
        <f>AND(PriceComparisonNormalised!A101,"AAAAAG3vnTw=")</f>
        <v>#VALUE!</v>
      </c>
      <c r="BJ9" t="e">
        <f>AND(PriceComparisonNormalised!B101,"AAAAAG3vnT0=")</f>
        <v>#VALUE!</v>
      </c>
      <c r="BK9" t="e">
        <f>AND(PriceComparisonNormalised!C101,"AAAAAG3vnT4=")</f>
        <v>#VALUE!</v>
      </c>
      <c r="BL9">
        <f>IF(PriceComparisonNormalised!102:102,"AAAAAG3vnT8=",0)</f>
        <v>0</v>
      </c>
      <c r="BM9" t="e">
        <f>AND(PriceComparisonNormalised!A102,"AAAAAG3vnUA=")</f>
        <v>#VALUE!</v>
      </c>
      <c r="BN9" t="e">
        <f>AND(PriceComparisonNormalised!B102,"AAAAAG3vnUE=")</f>
        <v>#VALUE!</v>
      </c>
      <c r="BO9" t="e">
        <f>AND(PriceComparisonNormalised!C102,"AAAAAG3vnUI=")</f>
        <v>#VALUE!</v>
      </c>
      <c r="BP9">
        <f>IF(PriceComparisonNormalised!103:103,"AAAAAG3vnUM=",0)</f>
        <v>0</v>
      </c>
      <c r="BQ9" t="e">
        <f>AND(PriceComparisonNormalised!A103,"AAAAAG3vnUQ=")</f>
        <v>#VALUE!</v>
      </c>
      <c r="BR9" t="e">
        <f>AND(PriceComparisonNormalised!B103,"AAAAAG3vnUU=")</f>
        <v>#VALUE!</v>
      </c>
      <c r="BS9" t="e">
        <f>AND(PriceComparisonNormalised!C103,"AAAAAG3vnUY=")</f>
        <v>#VALUE!</v>
      </c>
      <c r="BT9">
        <f>IF(PriceComparisonNormalised!104:104,"AAAAAG3vnUc=",0)</f>
        <v>0</v>
      </c>
      <c r="BU9" t="e">
        <f>AND(PriceComparisonNormalised!A104,"AAAAAG3vnUg=")</f>
        <v>#VALUE!</v>
      </c>
      <c r="BV9" t="e">
        <f>AND(PriceComparisonNormalised!B104,"AAAAAG3vnUk=")</f>
        <v>#VALUE!</v>
      </c>
      <c r="BW9" t="e">
        <f>AND(PriceComparisonNormalised!C104,"AAAAAG3vnUo=")</f>
        <v>#VALUE!</v>
      </c>
      <c r="BX9">
        <f>IF(PriceComparisonNormalised!105:105,"AAAAAG3vnUs=",0)</f>
        <v>0</v>
      </c>
      <c r="BY9" t="e">
        <f>AND(PriceComparisonNormalised!A105,"AAAAAG3vnUw=")</f>
        <v>#VALUE!</v>
      </c>
      <c r="BZ9" t="e">
        <f>AND(PriceComparisonNormalised!B105,"AAAAAG3vnU0=")</f>
        <v>#VALUE!</v>
      </c>
      <c r="CA9" t="e">
        <f>AND(PriceComparisonNormalised!C105,"AAAAAG3vnU4=")</f>
        <v>#VALUE!</v>
      </c>
      <c r="CB9">
        <f>IF(PriceComparisonNormalised!106:106,"AAAAAG3vnU8=",0)</f>
        <v>0</v>
      </c>
      <c r="CC9" t="e">
        <f>AND(PriceComparisonNormalised!A106,"AAAAAG3vnVA=")</f>
        <v>#VALUE!</v>
      </c>
      <c r="CD9" t="e">
        <f>AND(PriceComparisonNormalised!B106,"AAAAAG3vnVE=")</f>
        <v>#VALUE!</v>
      </c>
      <c r="CE9" t="e">
        <f>AND(PriceComparisonNormalised!C106,"AAAAAG3vnVI=")</f>
        <v>#VALUE!</v>
      </c>
      <c r="CF9">
        <f>IF(PriceComparisonNormalised!107:107,"AAAAAG3vnVM=",0)</f>
        <v>0</v>
      </c>
      <c r="CG9" t="e">
        <f>AND(PriceComparisonNormalised!A107,"AAAAAG3vnVQ=")</f>
        <v>#VALUE!</v>
      </c>
      <c r="CH9" t="e">
        <f>AND(PriceComparisonNormalised!B107,"AAAAAG3vnVU=")</f>
        <v>#VALUE!</v>
      </c>
      <c r="CI9" t="e">
        <f>AND(PriceComparisonNormalised!C107,"AAAAAG3vnVY=")</f>
        <v>#VALUE!</v>
      </c>
      <c r="CJ9">
        <f>IF(PriceComparisonNormalised!108:108,"AAAAAG3vnVc=",0)</f>
        <v>0</v>
      </c>
      <c r="CK9" t="e">
        <f>AND(PriceComparisonNormalised!A108,"AAAAAG3vnVg=")</f>
        <v>#VALUE!</v>
      </c>
      <c r="CL9" t="e">
        <f>AND(PriceComparisonNormalised!B108,"AAAAAG3vnVk=")</f>
        <v>#VALUE!</v>
      </c>
      <c r="CM9" t="e">
        <f>AND(PriceComparisonNormalised!C108,"AAAAAG3vnVo=")</f>
        <v>#VALUE!</v>
      </c>
      <c r="CN9">
        <f>IF(PriceComparisonNormalised!109:109,"AAAAAG3vnVs=",0)</f>
        <v>0</v>
      </c>
      <c r="CO9" t="e">
        <f>AND(PriceComparisonNormalised!A109,"AAAAAG3vnVw=")</f>
        <v>#VALUE!</v>
      </c>
      <c r="CP9" t="e">
        <f>AND(PriceComparisonNormalised!B109,"AAAAAG3vnV0=")</f>
        <v>#VALUE!</v>
      </c>
      <c r="CQ9" t="e">
        <f>AND(PriceComparisonNormalised!C109,"AAAAAG3vnV4=")</f>
        <v>#VALUE!</v>
      </c>
      <c r="CR9">
        <f>IF(PriceComparisonNormalised!110:110,"AAAAAG3vnV8=",0)</f>
        <v>0</v>
      </c>
      <c r="CS9" t="e">
        <f>AND(PriceComparisonNormalised!A110,"AAAAAG3vnWA=")</f>
        <v>#VALUE!</v>
      </c>
      <c r="CT9" t="e">
        <f>AND(PriceComparisonNormalised!B110,"AAAAAG3vnWE=")</f>
        <v>#VALUE!</v>
      </c>
      <c r="CU9" t="e">
        <f>AND(PriceComparisonNormalised!C110,"AAAAAG3vnWI=")</f>
        <v>#VALUE!</v>
      </c>
      <c r="CV9">
        <f>IF(PriceComparisonNormalised!111:111,"AAAAAG3vnWM=",0)</f>
        <v>0</v>
      </c>
      <c r="CW9" t="e">
        <f>AND(PriceComparisonNormalised!A111,"AAAAAG3vnWQ=")</f>
        <v>#VALUE!</v>
      </c>
      <c r="CX9" t="e">
        <f>AND(PriceComparisonNormalised!B111,"AAAAAG3vnWU=")</f>
        <v>#VALUE!</v>
      </c>
      <c r="CY9" t="e">
        <f>AND(PriceComparisonNormalised!C111,"AAAAAG3vnWY=")</f>
        <v>#VALUE!</v>
      </c>
      <c r="CZ9">
        <f>IF(PriceComparisonNormalised!112:112,"AAAAAG3vnWc=",0)</f>
        <v>0</v>
      </c>
      <c r="DA9" t="e">
        <f>AND(PriceComparisonNormalised!A112,"AAAAAG3vnWg=")</f>
        <v>#VALUE!</v>
      </c>
      <c r="DB9" t="e">
        <f>AND(PriceComparisonNormalised!B112,"AAAAAG3vnWk=")</f>
        <v>#VALUE!</v>
      </c>
      <c r="DC9" t="e">
        <f>AND(PriceComparisonNormalised!C112,"AAAAAG3vnWo=")</f>
        <v>#VALUE!</v>
      </c>
      <c r="DD9">
        <f>IF(PriceComparisonNormalised!113:113,"AAAAAG3vnWs=",0)</f>
        <v>0</v>
      </c>
      <c r="DE9" t="e">
        <f>AND(PriceComparisonNormalised!A113,"AAAAAG3vnWw=")</f>
        <v>#VALUE!</v>
      </c>
      <c r="DF9" t="e">
        <f>AND(PriceComparisonNormalised!B113,"AAAAAG3vnW0=")</f>
        <v>#VALUE!</v>
      </c>
      <c r="DG9" t="e">
        <f>AND(PriceComparisonNormalised!C113,"AAAAAG3vnW4=")</f>
        <v>#VALUE!</v>
      </c>
      <c r="DH9">
        <f>IF(PriceComparisonNormalised!114:114,"AAAAAG3vnW8=",0)</f>
        <v>0</v>
      </c>
      <c r="DI9" t="e">
        <f>AND(PriceComparisonNormalised!A114,"AAAAAG3vnXA=")</f>
        <v>#VALUE!</v>
      </c>
      <c r="DJ9" t="e">
        <f>AND(PriceComparisonNormalised!B114,"AAAAAG3vnXE=")</f>
        <v>#VALUE!</v>
      </c>
      <c r="DK9" t="e">
        <f>AND(PriceComparisonNormalised!C114,"AAAAAG3vnXI=")</f>
        <v>#VALUE!</v>
      </c>
      <c r="DL9" t="str">
        <f>IF(PriceComparisonNormalised!A:A,"AAAAAG3vnXM=",0)</f>
        <v>AAAAAG3vnXM=</v>
      </c>
      <c r="DM9" t="str">
        <f>IF(PriceComparisonNormalised!B:B,"AAAAAG3vnXQ=",0)</f>
        <v>AAAAAG3vnXQ=</v>
      </c>
      <c r="DN9" t="str">
        <f>IF(PriceComparisonNormalised!C:C,"AAAAAG3vnXU=",0)</f>
        <v>AAAAAG3vnXU=</v>
      </c>
      <c r="DO9">
        <f>IF(SpotVsReserved!1:1,"AAAAAG3vnXY=",0)</f>
        <v>0</v>
      </c>
      <c r="DP9" t="e">
        <f>AND(SpotVsReserved!A1,"AAAAAG3vnXc=")</f>
        <v>#VALUE!</v>
      </c>
      <c r="DQ9" t="e">
        <f>AND(SpotVsReserved!B1,"AAAAAG3vnXg=")</f>
        <v>#VALUE!</v>
      </c>
      <c r="DR9" t="e">
        <f>AND(SpotVsReserved!C1,"AAAAAG3vnXk=")</f>
        <v>#VALUE!</v>
      </c>
      <c r="DS9" t="e">
        <f>AND(SpotVsReserved!D1,"AAAAAG3vnXo=")</f>
        <v>#VALUE!</v>
      </c>
      <c r="DT9" t="e">
        <f>AND(SpotVsReserved!E1,"AAAAAG3vnXs=")</f>
        <v>#VALUE!</v>
      </c>
      <c r="DU9" t="e">
        <f>AND(SpotVsReserved!F1,"AAAAAG3vnXw=")</f>
        <v>#VALUE!</v>
      </c>
      <c r="DV9" t="e">
        <f>AND(SpotVsReserved!G1,"AAAAAG3vnX0=")</f>
        <v>#VALUE!</v>
      </c>
      <c r="DW9">
        <f>IF(SpotVsReserved!2:2,"AAAAAG3vnX4=",0)</f>
        <v>0</v>
      </c>
      <c r="DX9" t="e">
        <f>AND(SpotVsReserved!A2,"AAAAAG3vnX8=")</f>
        <v>#VALUE!</v>
      </c>
      <c r="DY9" t="e">
        <f>AND(SpotVsReserved!B2,"AAAAAG3vnYA=")</f>
        <v>#VALUE!</v>
      </c>
      <c r="DZ9" t="e">
        <f>AND(SpotVsReserved!C2,"AAAAAG3vnYE=")</f>
        <v>#VALUE!</v>
      </c>
      <c r="EA9" t="e">
        <f>AND(SpotVsReserved!D2,"AAAAAG3vnYI=")</f>
        <v>#VALUE!</v>
      </c>
      <c r="EB9" t="e">
        <f>AND(SpotVsReserved!E2,"AAAAAG3vnYM=")</f>
        <v>#VALUE!</v>
      </c>
      <c r="EC9" t="e">
        <f>AND(SpotVsReserved!F2,"AAAAAG3vnYQ=")</f>
        <v>#VALUE!</v>
      </c>
      <c r="ED9" t="e">
        <f>AND(SpotVsReserved!G2,"AAAAAG3vnYU=")</f>
        <v>#VALUE!</v>
      </c>
      <c r="EE9">
        <f>IF(SpotVsReserved!3:3,"AAAAAG3vnYY=",0)</f>
        <v>0</v>
      </c>
      <c r="EF9" t="e">
        <f>AND(SpotVsReserved!A3,"AAAAAG3vnYc=")</f>
        <v>#VALUE!</v>
      </c>
      <c r="EG9" t="e">
        <f>AND(SpotVsReserved!B3,"AAAAAG3vnYg=")</f>
        <v>#VALUE!</v>
      </c>
      <c r="EH9" t="e">
        <f>AND(SpotVsReserved!C3,"AAAAAG3vnYk=")</f>
        <v>#VALUE!</v>
      </c>
      <c r="EI9" t="e">
        <f>AND(SpotVsReserved!D3,"AAAAAG3vnYo=")</f>
        <v>#VALUE!</v>
      </c>
      <c r="EJ9" t="e">
        <f>AND(SpotVsReserved!E3,"AAAAAG3vnYs=")</f>
        <v>#VALUE!</v>
      </c>
      <c r="EK9" t="e">
        <f>AND(SpotVsReserved!F3,"AAAAAG3vnYw=")</f>
        <v>#VALUE!</v>
      </c>
      <c r="EL9" t="e">
        <f>AND(SpotVsReserved!G3,"AAAAAG3vnY0=")</f>
        <v>#VALUE!</v>
      </c>
      <c r="EM9">
        <f>IF(SpotVsReserved!4:4,"AAAAAG3vnY4=",0)</f>
        <v>0</v>
      </c>
      <c r="EN9" t="e">
        <f>AND(SpotVsReserved!A4,"AAAAAG3vnY8=")</f>
        <v>#VALUE!</v>
      </c>
      <c r="EO9" t="e">
        <f>AND(SpotVsReserved!B4,"AAAAAG3vnZA=")</f>
        <v>#VALUE!</v>
      </c>
      <c r="EP9" t="e">
        <f>AND(SpotVsReserved!C4,"AAAAAG3vnZE=")</f>
        <v>#VALUE!</v>
      </c>
      <c r="EQ9" t="e">
        <f>AND(SpotVsReserved!D4,"AAAAAG3vnZI=")</f>
        <v>#VALUE!</v>
      </c>
      <c r="ER9" t="e">
        <f>AND(SpotVsReserved!E4,"AAAAAG3vnZM=")</f>
        <v>#VALUE!</v>
      </c>
      <c r="ES9" t="e">
        <f>AND(SpotVsReserved!F4,"AAAAAG3vnZQ=")</f>
        <v>#VALUE!</v>
      </c>
      <c r="ET9" t="e">
        <f>AND(SpotVsReserved!G4,"AAAAAG3vnZU=")</f>
        <v>#VALUE!</v>
      </c>
      <c r="EU9">
        <f>IF(SpotVsReserved!5:5,"AAAAAG3vnZY=",0)</f>
        <v>0</v>
      </c>
      <c r="EV9" t="e">
        <f>AND(SpotVsReserved!A5,"AAAAAG3vnZc=")</f>
        <v>#VALUE!</v>
      </c>
      <c r="EW9" t="e">
        <f>AND(SpotVsReserved!B5,"AAAAAG3vnZg=")</f>
        <v>#VALUE!</v>
      </c>
      <c r="EX9" t="e">
        <f>AND(SpotVsReserved!C5,"AAAAAG3vnZk=")</f>
        <v>#VALUE!</v>
      </c>
      <c r="EY9" t="e">
        <f>AND(SpotVsReserved!D5,"AAAAAG3vnZo=")</f>
        <v>#VALUE!</v>
      </c>
      <c r="EZ9" t="e">
        <f>AND(SpotVsReserved!E5,"AAAAAG3vnZs=")</f>
        <v>#VALUE!</v>
      </c>
      <c r="FA9" t="e">
        <f>AND(SpotVsReserved!F5,"AAAAAG3vnZw=")</f>
        <v>#VALUE!</v>
      </c>
      <c r="FB9" t="e">
        <f>AND(SpotVsReserved!G5,"AAAAAG3vnZ0=")</f>
        <v>#VALUE!</v>
      </c>
      <c r="FC9">
        <f>IF(SpotVsReserved!6:6,"AAAAAG3vnZ4=",0)</f>
        <v>0</v>
      </c>
      <c r="FD9" t="e">
        <f>AND(SpotVsReserved!A6,"AAAAAG3vnZ8=")</f>
        <v>#VALUE!</v>
      </c>
      <c r="FE9" t="e">
        <f>AND(SpotVsReserved!B6,"AAAAAG3vnaA=")</f>
        <v>#VALUE!</v>
      </c>
      <c r="FF9" t="e">
        <f>AND(SpotVsReserved!C6,"AAAAAG3vnaE=")</f>
        <v>#VALUE!</v>
      </c>
      <c r="FG9" t="e">
        <f>AND(SpotVsReserved!D6,"AAAAAG3vnaI=")</f>
        <v>#VALUE!</v>
      </c>
      <c r="FH9" t="e">
        <f>AND(SpotVsReserved!E6,"AAAAAG3vnaM=")</f>
        <v>#VALUE!</v>
      </c>
      <c r="FI9" t="e">
        <f>AND(SpotVsReserved!F6,"AAAAAG3vnaQ=")</f>
        <v>#VALUE!</v>
      </c>
      <c r="FJ9" t="e">
        <f>AND(SpotVsReserved!G6,"AAAAAG3vnaU=")</f>
        <v>#VALUE!</v>
      </c>
      <c r="FK9">
        <f>IF(SpotVsReserved!7:7,"AAAAAG3vnaY=",0)</f>
        <v>0</v>
      </c>
      <c r="FL9" t="e">
        <f>AND(SpotVsReserved!A7,"AAAAAG3vnac=")</f>
        <v>#VALUE!</v>
      </c>
      <c r="FM9" t="e">
        <f>AND(SpotVsReserved!B7,"AAAAAG3vnag=")</f>
        <v>#VALUE!</v>
      </c>
      <c r="FN9" t="e">
        <f>AND(SpotVsReserved!C7,"AAAAAG3vnak=")</f>
        <v>#VALUE!</v>
      </c>
      <c r="FO9" t="e">
        <f>AND(SpotVsReserved!D7,"AAAAAG3vnao=")</f>
        <v>#VALUE!</v>
      </c>
      <c r="FP9" t="e">
        <f>AND(SpotVsReserved!E7,"AAAAAG3vnas=")</f>
        <v>#VALUE!</v>
      </c>
      <c r="FQ9" t="e">
        <f>AND(SpotVsReserved!F7,"AAAAAG3vnaw=")</f>
        <v>#VALUE!</v>
      </c>
      <c r="FR9" t="e">
        <f>AND(SpotVsReserved!G7,"AAAAAG3vna0=")</f>
        <v>#VALUE!</v>
      </c>
      <c r="FS9">
        <f>IF(SpotVsReserved!8:8,"AAAAAG3vna4=",0)</f>
        <v>0</v>
      </c>
      <c r="FT9" t="e">
        <f>AND(SpotVsReserved!A8,"AAAAAG3vna8=")</f>
        <v>#VALUE!</v>
      </c>
      <c r="FU9" t="e">
        <f>AND(SpotVsReserved!B8,"AAAAAG3vnbA=")</f>
        <v>#VALUE!</v>
      </c>
      <c r="FV9" t="e">
        <f>AND(SpotVsReserved!C8,"AAAAAG3vnbE=")</f>
        <v>#VALUE!</v>
      </c>
      <c r="FW9" t="e">
        <f>AND(SpotVsReserved!D8,"AAAAAG3vnbI=")</f>
        <v>#VALUE!</v>
      </c>
      <c r="FX9" t="e">
        <f>AND(SpotVsReserved!E8,"AAAAAG3vnbM=")</f>
        <v>#VALUE!</v>
      </c>
      <c r="FY9" t="e">
        <f>AND(SpotVsReserved!F8,"AAAAAG3vnbQ=")</f>
        <v>#VALUE!</v>
      </c>
      <c r="FZ9" t="e">
        <f>AND(SpotVsReserved!G8,"AAAAAG3vnbU=")</f>
        <v>#VALUE!</v>
      </c>
      <c r="GA9">
        <f>IF(SpotVsReserved!9:9,"AAAAAG3vnbY=",0)</f>
        <v>0</v>
      </c>
      <c r="GB9" t="e">
        <f>AND(SpotVsReserved!A9,"AAAAAG3vnbc=")</f>
        <v>#VALUE!</v>
      </c>
      <c r="GC9" t="e">
        <f>AND(SpotVsReserved!B9,"AAAAAG3vnbg=")</f>
        <v>#VALUE!</v>
      </c>
      <c r="GD9" t="e">
        <f>AND(SpotVsReserved!C9,"AAAAAG3vnbk=")</f>
        <v>#VALUE!</v>
      </c>
      <c r="GE9" t="e">
        <f>AND(SpotVsReserved!D9,"AAAAAG3vnbo=")</f>
        <v>#VALUE!</v>
      </c>
      <c r="GF9" t="e">
        <f>AND(SpotVsReserved!E9,"AAAAAG3vnbs=")</f>
        <v>#VALUE!</v>
      </c>
      <c r="GG9" t="e">
        <f>AND(SpotVsReserved!F9,"AAAAAG3vnbw=")</f>
        <v>#VALUE!</v>
      </c>
      <c r="GH9" t="e">
        <f>AND(SpotVsReserved!G9,"AAAAAG3vnb0=")</f>
        <v>#VALUE!</v>
      </c>
      <c r="GI9">
        <f>IF(SpotVsReserved!10:10,"AAAAAG3vnb4=",0)</f>
        <v>0</v>
      </c>
      <c r="GJ9" t="e">
        <f>AND(SpotVsReserved!A10,"AAAAAG3vnb8=")</f>
        <v>#VALUE!</v>
      </c>
      <c r="GK9" t="e">
        <f>AND(SpotVsReserved!B10,"AAAAAG3vncA=")</f>
        <v>#VALUE!</v>
      </c>
      <c r="GL9" t="e">
        <f>AND(SpotVsReserved!C10,"AAAAAG3vncE=")</f>
        <v>#VALUE!</v>
      </c>
      <c r="GM9" t="e">
        <f>AND(SpotVsReserved!D10,"AAAAAG3vncI=")</f>
        <v>#VALUE!</v>
      </c>
      <c r="GN9" t="e">
        <f>AND(SpotVsReserved!E10,"AAAAAG3vncM=")</f>
        <v>#VALUE!</v>
      </c>
      <c r="GO9" t="e">
        <f>AND(SpotVsReserved!F10,"AAAAAG3vncQ=")</f>
        <v>#VALUE!</v>
      </c>
      <c r="GP9" t="e">
        <f>AND(SpotVsReserved!G10,"AAAAAG3vncU=")</f>
        <v>#VALUE!</v>
      </c>
      <c r="GQ9">
        <f>IF(SpotVsReserved!11:11,"AAAAAG3vncY=",0)</f>
        <v>0</v>
      </c>
      <c r="GR9" t="e">
        <f>AND(SpotVsReserved!A11,"AAAAAG3vncc=")</f>
        <v>#VALUE!</v>
      </c>
      <c r="GS9" t="e">
        <f>AND(SpotVsReserved!B11,"AAAAAG3vncg=")</f>
        <v>#VALUE!</v>
      </c>
      <c r="GT9" t="e">
        <f>AND(SpotVsReserved!C11,"AAAAAG3vnck=")</f>
        <v>#VALUE!</v>
      </c>
      <c r="GU9" t="e">
        <f>AND(SpotVsReserved!D11,"AAAAAG3vnco=")</f>
        <v>#VALUE!</v>
      </c>
      <c r="GV9" t="e">
        <f>AND(SpotVsReserved!E11,"AAAAAG3vncs=")</f>
        <v>#VALUE!</v>
      </c>
      <c r="GW9" t="e">
        <f>AND(SpotVsReserved!F11,"AAAAAG3vncw=")</f>
        <v>#VALUE!</v>
      </c>
      <c r="GX9" t="e">
        <f>AND(SpotVsReserved!G11,"AAAAAG3vnc0=")</f>
        <v>#VALUE!</v>
      </c>
      <c r="GY9">
        <f>IF(SpotVsReserved!12:12,"AAAAAG3vnc4=",0)</f>
        <v>0</v>
      </c>
      <c r="GZ9" t="e">
        <f>AND(SpotVsReserved!A12,"AAAAAG3vnc8=")</f>
        <v>#VALUE!</v>
      </c>
      <c r="HA9" t="e">
        <f>AND(SpotVsReserved!B12,"AAAAAG3vndA=")</f>
        <v>#VALUE!</v>
      </c>
      <c r="HB9" t="e">
        <f>AND(SpotVsReserved!C12,"AAAAAG3vndE=")</f>
        <v>#VALUE!</v>
      </c>
      <c r="HC9" t="e">
        <f>AND(SpotVsReserved!D12,"AAAAAG3vndI=")</f>
        <v>#VALUE!</v>
      </c>
      <c r="HD9" t="e">
        <f>AND(SpotVsReserved!E12,"AAAAAG3vndM=")</f>
        <v>#VALUE!</v>
      </c>
      <c r="HE9" t="e">
        <f>AND(SpotVsReserved!F12,"AAAAAG3vndQ=")</f>
        <v>#VALUE!</v>
      </c>
      <c r="HF9" t="e">
        <f>AND(SpotVsReserved!G12,"AAAAAG3vndU=")</f>
        <v>#VALUE!</v>
      </c>
      <c r="HG9">
        <f>IF(SpotVsReserved!13:13,"AAAAAG3vndY=",0)</f>
        <v>0</v>
      </c>
      <c r="HH9" t="e">
        <f>AND(SpotVsReserved!A13,"AAAAAG3vndc=")</f>
        <v>#VALUE!</v>
      </c>
      <c r="HI9" t="e">
        <f>AND(SpotVsReserved!B13,"AAAAAG3vndg=")</f>
        <v>#VALUE!</v>
      </c>
      <c r="HJ9" t="e">
        <f>AND(SpotVsReserved!C13,"AAAAAG3vndk=")</f>
        <v>#VALUE!</v>
      </c>
      <c r="HK9" t="e">
        <f>AND(SpotVsReserved!D13,"AAAAAG3vndo=")</f>
        <v>#VALUE!</v>
      </c>
      <c r="HL9" t="e">
        <f>AND(SpotVsReserved!E13,"AAAAAG3vnds=")</f>
        <v>#VALUE!</v>
      </c>
      <c r="HM9" t="e">
        <f>AND(SpotVsReserved!F13,"AAAAAG3vndw=")</f>
        <v>#VALUE!</v>
      </c>
      <c r="HN9" t="e">
        <f>AND(SpotVsReserved!G13,"AAAAAG3vnd0=")</f>
        <v>#VALUE!</v>
      </c>
      <c r="HO9">
        <f>IF(SpotVsReserved!14:14,"AAAAAG3vnd4=",0)</f>
        <v>0</v>
      </c>
      <c r="HP9" t="e">
        <f>AND(SpotVsReserved!A14,"AAAAAG3vnd8=")</f>
        <v>#VALUE!</v>
      </c>
      <c r="HQ9" t="e">
        <f>AND(SpotVsReserved!B14,"AAAAAG3vneA=")</f>
        <v>#VALUE!</v>
      </c>
      <c r="HR9" t="e">
        <f>AND(SpotVsReserved!C14,"AAAAAG3vneE=")</f>
        <v>#VALUE!</v>
      </c>
      <c r="HS9" t="e">
        <f>AND(SpotVsReserved!D14,"AAAAAG3vneI=")</f>
        <v>#VALUE!</v>
      </c>
      <c r="HT9" t="e">
        <f>AND(SpotVsReserved!E14,"AAAAAG3vneM=")</f>
        <v>#VALUE!</v>
      </c>
      <c r="HU9" t="e">
        <f>AND(SpotVsReserved!F14,"AAAAAG3vneQ=")</f>
        <v>#VALUE!</v>
      </c>
      <c r="HV9" t="e">
        <f>AND(SpotVsReserved!G14,"AAAAAG3vneU=")</f>
        <v>#VALUE!</v>
      </c>
      <c r="HW9">
        <f>IF(SpotVsReserved!15:15,"AAAAAG3vneY=",0)</f>
        <v>0</v>
      </c>
      <c r="HX9" t="e">
        <f>AND(SpotVsReserved!A15,"AAAAAG3vnec=")</f>
        <v>#VALUE!</v>
      </c>
      <c r="HY9" t="e">
        <f>AND(SpotVsReserved!B15,"AAAAAG3vneg=")</f>
        <v>#VALUE!</v>
      </c>
      <c r="HZ9" t="e">
        <f>AND(SpotVsReserved!C15,"AAAAAG3vnek=")</f>
        <v>#VALUE!</v>
      </c>
      <c r="IA9" t="e">
        <f>AND(SpotVsReserved!D15,"AAAAAG3vneo=")</f>
        <v>#VALUE!</v>
      </c>
      <c r="IB9" t="e">
        <f>AND(SpotVsReserved!E15,"AAAAAG3vnes=")</f>
        <v>#VALUE!</v>
      </c>
      <c r="IC9" t="e">
        <f>AND(SpotVsReserved!F15,"AAAAAG3vnew=")</f>
        <v>#VALUE!</v>
      </c>
      <c r="ID9" t="e">
        <f>AND(SpotVsReserved!G15,"AAAAAG3vne0=")</f>
        <v>#VALUE!</v>
      </c>
      <c r="IE9">
        <f>IF(SpotVsReserved!16:16,"AAAAAG3vne4=",0)</f>
        <v>0</v>
      </c>
      <c r="IF9" t="e">
        <f>AND(SpotVsReserved!A16,"AAAAAG3vne8=")</f>
        <v>#VALUE!</v>
      </c>
      <c r="IG9" t="e">
        <f>AND(SpotVsReserved!B16,"AAAAAG3vnfA=")</f>
        <v>#VALUE!</v>
      </c>
      <c r="IH9" t="e">
        <f>AND(SpotVsReserved!C16,"AAAAAG3vnfE=")</f>
        <v>#VALUE!</v>
      </c>
      <c r="II9" t="e">
        <f>AND(SpotVsReserved!D16,"AAAAAG3vnfI=")</f>
        <v>#VALUE!</v>
      </c>
      <c r="IJ9" t="e">
        <f>AND(SpotVsReserved!E16,"AAAAAG3vnfM=")</f>
        <v>#VALUE!</v>
      </c>
      <c r="IK9" t="e">
        <f>AND(SpotVsReserved!F16,"AAAAAG3vnfQ=")</f>
        <v>#VALUE!</v>
      </c>
      <c r="IL9" t="e">
        <f>AND(SpotVsReserved!G16,"AAAAAG3vnfU=")</f>
        <v>#VALUE!</v>
      </c>
      <c r="IM9">
        <f>IF(SpotVsReserved!17:17,"AAAAAG3vnfY=",0)</f>
        <v>0</v>
      </c>
      <c r="IN9" t="e">
        <f>AND(SpotVsReserved!A17,"AAAAAG3vnfc=")</f>
        <v>#VALUE!</v>
      </c>
      <c r="IO9" t="e">
        <f>AND(SpotVsReserved!B17,"AAAAAG3vnfg=")</f>
        <v>#VALUE!</v>
      </c>
      <c r="IP9" t="e">
        <f>AND(SpotVsReserved!C17,"AAAAAG3vnfk=")</f>
        <v>#VALUE!</v>
      </c>
      <c r="IQ9" t="e">
        <f>AND(SpotVsReserved!D17,"AAAAAG3vnfo=")</f>
        <v>#VALUE!</v>
      </c>
      <c r="IR9" t="e">
        <f>AND(SpotVsReserved!E17,"AAAAAG3vnfs=")</f>
        <v>#VALUE!</v>
      </c>
      <c r="IS9" t="e">
        <f>AND(SpotVsReserved!F17,"AAAAAG3vnfw=")</f>
        <v>#VALUE!</v>
      </c>
      <c r="IT9" t="e">
        <f>AND(SpotVsReserved!G17,"AAAAAG3vnf0=")</f>
        <v>#VALUE!</v>
      </c>
      <c r="IU9">
        <f>IF(SpotVsReserved!18:18,"AAAAAG3vnf4=",0)</f>
        <v>0</v>
      </c>
      <c r="IV9" t="e">
        <f>AND(SpotVsReserved!A18,"AAAAAG3vnf8=")</f>
        <v>#VALUE!</v>
      </c>
    </row>
    <row r="10" spans="1:256" x14ac:dyDescent="0.25">
      <c r="A10" t="e">
        <f>AND(SpotVsReserved!B18,"AAAAAB/3/wA=")</f>
        <v>#VALUE!</v>
      </c>
      <c r="B10" t="e">
        <f>AND(SpotVsReserved!C18,"AAAAAB/3/wE=")</f>
        <v>#VALUE!</v>
      </c>
      <c r="C10" t="e">
        <f>AND(SpotVsReserved!D18,"AAAAAB/3/wI=")</f>
        <v>#VALUE!</v>
      </c>
      <c r="D10" t="e">
        <f>AND(SpotVsReserved!E18,"AAAAAB/3/wM=")</f>
        <v>#VALUE!</v>
      </c>
      <c r="E10" t="e">
        <f>AND(SpotVsReserved!F18,"AAAAAB/3/wQ=")</f>
        <v>#VALUE!</v>
      </c>
      <c r="F10" t="e">
        <f>AND(SpotVsReserved!G18,"AAAAAB/3/wU=")</f>
        <v>#VALUE!</v>
      </c>
      <c r="G10" t="e">
        <f>IF(SpotVsReserved!19:19,"AAAAAB/3/wY=",0)</f>
        <v>#VALUE!</v>
      </c>
      <c r="H10" t="e">
        <f>AND(SpotVsReserved!A19,"AAAAAB/3/wc=")</f>
        <v>#VALUE!</v>
      </c>
      <c r="I10" t="e">
        <f>AND(SpotVsReserved!B19,"AAAAAB/3/wg=")</f>
        <v>#VALUE!</v>
      </c>
      <c r="J10" t="e">
        <f>AND(SpotVsReserved!C19,"AAAAAB/3/wk=")</f>
        <v>#VALUE!</v>
      </c>
      <c r="K10" t="e">
        <f>AND(SpotVsReserved!D19,"AAAAAB/3/wo=")</f>
        <v>#VALUE!</v>
      </c>
      <c r="L10" t="e">
        <f>AND(SpotVsReserved!E19,"AAAAAB/3/ws=")</f>
        <v>#VALUE!</v>
      </c>
      <c r="M10" t="e">
        <f>AND(SpotVsReserved!F19,"AAAAAB/3/ww=")</f>
        <v>#VALUE!</v>
      </c>
      <c r="N10" t="e">
        <f>AND(SpotVsReserved!G19,"AAAAAB/3/w0=")</f>
        <v>#VALUE!</v>
      </c>
      <c r="O10">
        <f>IF(SpotVsReserved!20:20,"AAAAAB/3/w4=",0)</f>
        <v>0</v>
      </c>
      <c r="P10" t="e">
        <f>AND(SpotVsReserved!A20,"AAAAAB/3/w8=")</f>
        <v>#VALUE!</v>
      </c>
      <c r="Q10" t="e">
        <f>AND(SpotVsReserved!B20,"AAAAAB/3/xA=")</f>
        <v>#VALUE!</v>
      </c>
      <c r="R10" t="e">
        <f>AND(SpotVsReserved!C20,"AAAAAB/3/xE=")</f>
        <v>#VALUE!</v>
      </c>
      <c r="S10" t="e">
        <f>AND(SpotVsReserved!D20,"AAAAAB/3/xI=")</f>
        <v>#VALUE!</v>
      </c>
      <c r="T10" t="e">
        <f>AND(SpotVsReserved!E20,"AAAAAB/3/xM=")</f>
        <v>#VALUE!</v>
      </c>
      <c r="U10" t="e">
        <f>AND(SpotVsReserved!F20,"AAAAAB/3/xQ=")</f>
        <v>#VALUE!</v>
      </c>
      <c r="V10" t="e">
        <f>AND(SpotVsReserved!G20,"AAAAAB/3/xU=")</f>
        <v>#VALUE!</v>
      </c>
      <c r="W10">
        <f>IF(SpotVsReserved!21:21,"AAAAAB/3/xY=",0)</f>
        <v>0</v>
      </c>
      <c r="X10" t="e">
        <f>AND(SpotVsReserved!A21,"AAAAAB/3/xc=")</f>
        <v>#VALUE!</v>
      </c>
      <c r="Y10" t="e">
        <f>AND(SpotVsReserved!B21,"AAAAAB/3/xg=")</f>
        <v>#VALUE!</v>
      </c>
      <c r="Z10" t="e">
        <f>AND(SpotVsReserved!C21,"AAAAAB/3/xk=")</f>
        <v>#VALUE!</v>
      </c>
      <c r="AA10" t="e">
        <f>AND(SpotVsReserved!D21,"AAAAAB/3/xo=")</f>
        <v>#VALUE!</v>
      </c>
      <c r="AB10" t="e">
        <f>AND(SpotVsReserved!E21,"AAAAAB/3/xs=")</f>
        <v>#VALUE!</v>
      </c>
      <c r="AC10" t="e">
        <f>AND(SpotVsReserved!F21,"AAAAAB/3/xw=")</f>
        <v>#VALUE!</v>
      </c>
      <c r="AD10" t="e">
        <f>AND(SpotVsReserved!G21,"AAAAAB/3/x0=")</f>
        <v>#VALUE!</v>
      </c>
      <c r="AE10">
        <f>IF(SpotVsReserved!22:22,"AAAAAB/3/x4=",0)</f>
        <v>0</v>
      </c>
      <c r="AF10" t="e">
        <f>AND(SpotVsReserved!A22,"AAAAAB/3/x8=")</f>
        <v>#VALUE!</v>
      </c>
      <c r="AG10" t="e">
        <f>AND(SpotVsReserved!B22,"AAAAAB/3/yA=")</f>
        <v>#VALUE!</v>
      </c>
      <c r="AH10" t="e">
        <f>AND(SpotVsReserved!C22,"AAAAAB/3/yE=")</f>
        <v>#VALUE!</v>
      </c>
      <c r="AI10" t="e">
        <f>AND(SpotVsReserved!D22,"AAAAAB/3/yI=")</f>
        <v>#VALUE!</v>
      </c>
      <c r="AJ10" t="e">
        <f>AND(SpotVsReserved!E22,"AAAAAB/3/yM=")</f>
        <v>#VALUE!</v>
      </c>
      <c r="AK10" t="e">
        <f>AND(SpotVsReserved!F22,"AAAAAB/3/yQ=")</f>
        <v>#VALUE!</v>
      </c>
      <c r="AL10" t="e">
        <f>AND(SpotVsReserved!G22,"AAAAAB/3/yU=")</f>
        <v>#VALUE!</v>
      </c>
      <c r="AM10">
        <f>IF(SpotVsReserved!23:23,"AAAAAB/3/yY=",0)</f>
        <v>0</v>
      </c>
      <c r="AN10" t="e">
        <f>AND(SpotVsReserved!A23,"AAAAAB/3/yc=")</f>
        <v>#VALUE!</v>
      </c>
      <c r="AO10" t="e">
        <f>AND(SpotVsReserved!B23,"AAAAAB/3/yg=")</f>
        <v>#VALUE!</v>
      </c>
      <c r="AP10" t="e">
        <f>AND(SpotVsReserved!C23,"AAAAAB/3/yk=")</f>
        <v>#VALUE!</v>
      </c>
      <c r="AQ10" t="e">
        <f>AND(SpotVsReserved!D23,"AAAAAB/3/yo=")</f>
        <v>#VALUE!</v>
      </c>
      <c r="AR10" t="e">
        <f>AND(SpotVsReserved!E23,"AAAAAB/3/ys=")</f>
        <v>#VALUE!</v>
      </c>
      <c r="AS10" t="e">
        <f>AND(SpotVsReserved!F23,"AAAAAB/3/yw=")</f>
        <v>#VALUE!</v>
      </c>
      <c r="AT10" t="e">
        <f>AND(SpotVsReserved!G23,"AAAAAB/3/y0=")</f>
        <v>#VALUE!</v>
      </c>
      <c r="AU10">
        <f>IF(SpotVsReserved!24:24,"AAAAAB/3/y4=",0)</f>
        <v>0</v>
      </c>
      <c r="AV10" t="e">
        <f>AND(SpotVsReserved!A24,"AAAAAB/3/y8=")</f>
        <v>#VALUE!</v>
      </c>
      <c r="AW10" t="e">
        <f>AND(SpotVsReserved!B24,"AAAAAB/3/zA=")</f>
        <v>#VALUE!</v>
      </c>
      <c r="AX10" t="e">
        <f>AND(SpotVsReserved!C24,"AAAAAB/3/zE=")</f>
        <v>#VALUE!</v>
      </c>
      <c r="AY10" t="e">
        <f>AND(SpotVsReserved!D24,"AAAAAB/3/zI=")</f>
        <v>#VALUE!</v>
      </c>
      <c r="AZ10" t="e">
        <f>AND(SpotVsReserved!E24,"AAAAAB/3/zM=")</f>
        <v>#VALUE!</v>
      </c>
      <c r="BA10" t="e">
        <f>AND(SpotVsReserved!F24,"AAAAAB/3/zQ=")</f>
        <v>#VALUE!</v>
      </c>
      <c r="BB10" t="e">
        <f>AND(SpotVsReserved!G24,"AAAAAB/3/zU=")</f>
        <v>#VALUE!</v>
      </c>
      <c r="BC10">
        <f>IF(SpotVsReserved!25:25,"AAAAAB/3/zY=",0)</f>
        <v>0</v>
      </c>
      <c r="BD10" t="e">
        <f>AND(SpotVsReserved!A25,"AAAAAB/3/zc=")</f>
        <v>#VALUE!</v>
      </c>
      <c r="BE10" t="e">
        <f>AND(SpotVsReserved!B25,"AAAAAB/3/zg=")</f>
        <v>#VALUE!</v>
      </c>
      <c r="BF10" t="e">
        <f>AND(SpotVsReserved!C25,"AAAAAB/3/zk=")</f>
        <v>#VALUE!</v>
      </c>
      <c r="BG10" t="e">
        <f>AND(SpotVsReserved!D25,"AAAAAB/3/zo=")</f>
        <v>#VALUE!</v>
      </c>
      <c r="BH10" t="e">
        <f>AND(SpotVsReserved!E25,"AAAAAB/3/zs=")</f>
        <v>#VALUE!</v>
      </c>
      <c r="BI10" t="e">
        <f>AND(SpotVsReserved!F25,"AAAAAB/3/zw=")</f>
        <v>#VALUE!</v>
      </c>
      <c r="BJ10" t="e">
        <f>AND(SpotVsReserved!G25,"AAAAAB/3/z0=")</f>
        <v>#VALUE!</v>
      </c>
      <c r="BK10">
        <f>IF(SpotVsReserved!26:26,"AAAAAB/3/z4=",0)</f>
        <v>0</v>
      </c>
      <c r="BL10" t="e">
        <f>AND(SpotVsReserved!A26,"AAAAAB/3/z8=")</f>
        <v>#VALUE!</v>
      </c>
      <c r="BM10" t="e">
        <f>AND(SpotVsReserved!B26,"AAAAAB/3/0A=")</f>
        <v>#VALUE!</v>
      </c>
      <c r="BN10" t="e">
        <f>AND(SpotVsReserved!C26,"AAAAAB/3/0E=")</f>
        <v>#VALUE!</v>
      </c>
      <c r="BO10" t="e">
        <f>AND(SpotVsReserved!D26,"AAAAAB/3/0I=")</f>
        <v>#VALUE!</v>
      </c>
      <c r="BP10" t="e">
        <f>AND(SpotVsReserved!E26,"AAAAAB/3/0M=")</f>
        <v>#VALUE!</v>
      </c>
      <c r="BQ10" t="e">
        <f>AND(SpotVsReserved!F26,"AAAAAB/3/0Q=")</f>
        <v>#VALUE!</v>
      </c>
      <c r="BR10" t="e">
        <f>AND(SpotVsReserved!G26,"AAAAAB/3/0U=")</f>
        <v>#VALUE!</v>
      </c>
      <c r="BS10">
        <f>IF(SpotVsReserved!27:27,"AAAAAB/3/0Y=",0)</f>
        <v>0</v>
      </c>
      <c r="BT10" t="e">
        <f>AND(SpotVsReserved!A27,"AAAAAB/3/0c=")</f>
        <v>#VALUE!</v>
      </c>
      <c r="BU10" t="e">
        <f>AND(SpotVsReserved!B27,"AAAAAB/3/0g=")</f>
        <v>#VALUE!</v>
      </c>
      <c r="BV10" t="e">
        <f>AND(SpotVsReserved!C27,"AAAAAB/3/0k=")</f>
        <v>#VALUE!</v>
      </c>
      <c r="BW10" t="e">
        <f>AND(SpotVsReserved!D27,"AAAAAB/3/0o=")</f>
        <v>#VALUE!</v>
      </c>
      <c r="BX10" t="e">
        <f>AND(SpotVsReserved!E27,"AAAAAB/3/0s=")</f>
        <v>#VALUE!</v>
      </c>
      <c r="BY10" t="e">
        <f>AND(SpotVsReserved!F27,"AAAAAB/3/0w=")</f>
        <v>#VALUE!</v>
      </c>
      <c r="BZ10" t="e">
        <f>AND(SpotVsReserved!G27,"AAAAAB/3/00=")</f>
        <v>#VALUE!</v>
      </c>
      <c r="CA10">
        <f>IF(SpotVsReserved!28:28,"AAAAAB/3/04=",0)</f>
        <v>0</v>
      </c>
      <c r="CB10" t="e">
        <f>AND(SpotVsReserved!A28,"AAAAAB/3/08=")</f>
        <v>#VALUE!</v>
      </c>
      <c r="CC10" t="e">
        <f>AND(SpotVsReserved!B28,"AAAAAB/3/1A=")</f>
        <v>#VALUE!</v>
      </c>
      <c r="CD10" t="e">
        <f>AND(SpotVsReserved!C28,"AAAAAB/3/1E=")</f>
        <v>#VALUE!</v>
      </c>
      <c r="CE10" t="e">
        <f>AND(SpotVsReserved!D28,"AAAAAB/3/1I=")</f>
        <v>#VALUE!</v>
      </c>
      <c r="CF10" t="e">
        <f>AND(SpotVsReserved!E28,"AAAAAB/3/1M=")</f>
        <v>#VALUE!</v>
      </c>
      <c r="CG10" t="e">
        <f>AND(SpotVsReserved!F28,"AAAAAB/3/1Q=")</f>
        <v>#VALUE!</v>
      </c>
      <c r="CH10" t="e">
        <f>AND(SpotVsReserved!G28,"AAAAAB/3/1U=")</f>
        <v>#VALUE!</v>
      </c>
      <c r="CI10">
        <f>IF(SpotVsReserved!29:29,"AAAAAB/3/1Y=",0)</f>
        <v>0</v>
      </c>
      <c r="CJ10" t="e">
        <f>AND(SpotVsReserved!A29,"AAAAAB/3/1c=")</f>
        <v>#VALUE!</v>
      </c>
      <c r="CK10" t="e">
        <f>AND(SpotVsReserved!B29,"AAAAAB/3/1g=")</f>
        <v>#VALUE!</v>
      </c>
      <c r="CL10" t="e">
        <f>AND(SpotVsReserved!C29,"AAAAAB/3/1k=")</f>
        <v>#VALUE!</v>
      </c>
      <c r="CM10" t="e">
        <f>AND(SpotVsReserved!D29,"AAAAAB/3/1o=")</f>
        <v>#VALUE!</v>
      </c>
      <c r="CN10" t="e">
        <f>AND(SpotVsReserved!E29,"AAAAAB/3/1s=")</f>
        <v>#VALUE!</v>
      </c>
      <c r="CO10" t="e">
        <f>AND(SpotVsReserved!F29,"AAAAAB/3/1w=")</f>
        <v>#VALUE!</v>
      </c>
      <c r="CP10" t="e">
        <f>AND(SpotVsReserved!G29,"AAAAAB/3/10=")</f>
        <v>#VALUE!</v>
      </c>
      <c r="CQ10">
        <f>IF(SpotVsReserved!30:30,"AAAAAB/3/14=",0)</f>
        <v>0</v>
      </c>
      <c r="CR10" t="e">
        <f>AND(SpotVsReserved!A30,"AAAAAB/3/18=")</f>
        <v>#VALUE!</v>
      </c>
      <c r="CS10" t="e">
        <f>AND(SpotVsReserved!B30,"AAAAAB/3/2A=")</f>
        <v>#VALUE!</v>
      </c>
      <c r="CT10" t="e">
        <f>AND(SpotVsReserved!C30,"AAAAAB/3/2E=")</f>
        <v>#VALUE!</v>
      </c>
      <c r="CU10" t="e">
        <f>AND(SpotVsReserved!D30,"AAAAAB/3/2I=")</f>
        <v>#VALUE!</v>
      </c>
      <c r="CV10" t="e">
        <f>AND(SpotVsReserved!E30,"AAAAAB/3/2M=")</f>
        <v>#VALUE!</v>
      </c>
      <c r="CW10" t="e">
        <f>AND(SpotVsReserved!F30,"AAAAAB/3/2Q=")</f>
        <v>#VALUE!</v>
      </c>
      <c r="CX10" t="e">
        <f>AND(SpotVsReserved!G30,"AAAAAB/3/2U=")</f>
        <v>#VALUE!</v>
      </c>
      <c r="CY10">
        <f>IF(SpotVsReserved!31:31,"AAAAAB/3/2Y=",0)</f>
        <v>0</v>
      </c>
      <c r="CZ10" t="e">
        <f>AND(SpotVsReserved!A31,"AAAAAB/3/2c=")</f>
        <v>#VALUE!</v>
      </c>
      <c r="DA10" t="e">
        <f>AND(SpotVsReserved!B31,"AAAAAB/3/2g=")</f>
        <v>#VALUE!</v>
      </c>
      <c r="DB10" t="e">
        <f>AND(SpotVsReserved!C31,"AAAAAB/3/2k=")</f>
        <v>#VALUE!</v>
      </c>
      <c r="DC10" t="e">
        <f>AND(SpotVsReserved!D31,"AAAAAB/3/2o=")</f>
        <v>#VALUE!</v>
      </c>
      <c r="DD10" t="e">
        <f>AND(SpotVsReserved!E31,"AAAAAB/3/2s=")</f>
        <v>#VALUE!</v>
      </c>
      <c r="DE10" t="e">
        <f>AND(SpotVsReserved!F31,"AAAAAB/3/2w=")</f>
        <v>#VALUE!</v>
      </c>
      <c r="DF10" t="e">
        <f>AND(SpotVsReserved!G31,"AAAAAB/3/20=")</f>
        <v>#VALUE!</v>
      </c>
      <c r="DG10">
        <f>IF(SpotVsReserved!32:32,"AAAAAB/3/24=",0)</f>
        <v>0</v>
      </c>
      <c r="DH10" t="e">
        <f>AND(SpotVsReserved!A32,"AAAAAB/3/28=")</f>
        <v>#VALUE!</v>
      </c>
      <c r="DI10" t="e">
        <f>AND(SpotVsReserved!B32,"AAAAAB/3/3A=")</f>
        <v>#VALUE!</v>
      </c>
      <c r="DJ10" t="e">
        <f>AND(SpotVsReserved!C32,"AAAAAB/3/3E=")</f>
        <v>#VALUE!</v>
      </c>
      <c r="DK10" t="e">
        <f>AND(SpotVsReserved!D32,"AAAAAB/3/3I=")</f>
        <v>#VALUE!</v>
      </c>
      <c r="DL10" t="e">
        <f>AND(SpotVsReserved!E32,"AAAAAB/3/3M=")</f>
        <v>#VALUE!</v>
      </c>
      <c r="DM10" t="e">
        <f>AND(SpotVsReserved!F32,"AAAAAB/3/3Q=")</f>
        <v>#VALUE!</v>
      </c>
      <c r="DN10" t="e">
        <f>AND(SpotVsReserved!G32,"AAAAAB/3/3U=")</f>
        <v>#VALUE!</v>
      </c>
      <c r="DO10">
        <f>IF(SpotVsReserved!33:33,"AAAAAB/3/3Y=",0)</f>
        <v>0</v>
      </c>
      <c r="DP10" t="e">
        <f>AND(SpotVsReserved!A33,"AAAAAB/3/3c=")</f>
        <v>#VALUE!</v>
      </c>
      <c r="DQ10" t="e">
        <f>AND(SpotVsReserved!B33,"AAAAAB/3/3g=")</f>
        <v>#VALUE!</v>
      </c>
      <c r="DR10" t="e">
        <f>AND(SpotVsReserved!C33,"AAAAAB/3/3k=")</f>
        <v>#VALUE!</v>
      </c>
      <c r="DS10" t="e">
        <f>AND(SpotVsReserved!D33,"AAAAAB/3/3o=")</f>
        <v>#VALUE!</v>
      </c>
      <c r="DT10" t="e">
        <f>AND(SpotVsReserved!E33,"AAAAAB/3/3s=")</f>
        <v>#VALUE!</v>
      </c>
      <c r="DU10" t="e">
        <f>AND(SpotVsReserved!F33,"AAAAAB/3/3w=")</f>
        <v>#VALUE!</v>
      </c>
      <c r="DV10" t="e">
        <f>AND(SpotVsReserved!G33,"AAAAAB/3/30=")</f>
        <v>#VALUE!</v>
      </c>
      <c r="DW10">
        <f>IF(SpotVsReserved!34:34,"AAAAAB/3/34=",0)</f>
        <v>0</v>
      </c>
      <c r="DX10" t="e">
        <f>AND(SpotVsReserved!A34,"AAAAAB/3/38=")</f>
        <v>#VALUE!</v>
      </c>
      <c r="DY10" t="e">
        <f>AND(SpotVsReserved!B34,"AAAAAB/3/4A=")</f>
        <v>#VALUE!</v>
      </c>
      <c r="DZ10" t="e">
        <f>AND(SpotVsReserved!C34,"AAAAAB/3/4E=")</f>
        <v>#VALUE!</v>
      </c>
      <c r="EA10" t="e">
        <f>AND(SpotVsReserved!D34,"AAAAAB/3/4I=")</f>
        <v>#VALUE!</v>
      </c>
      <c r="EB10" t="e">
        <f>AND(SpotVsReserved!E34,"AAAAAB/3/4M=")</f>
        <v>#VALUE!</v>
      </c>
      <c r="EC10" t="e">
        <f>AND(SpotVsReserved!F34,"AAAAAB/3/4Q=")</f>
        <v>#VALUE!</v>
      </c>
      <c r="ED10" t="e">
        <f>AND(SpotVsReserved!G34,"AAAAAB/3/4U=")</f>
        <v>#VALUE!</v>
      </c>
      <c r="EE10">
        <f>IF(SpotVsReserved!35:35,"AAAAAB/3/4Y=",0)</f>
        <v>0</v>
      </c>
      <c r="EF10" t="e">
        <f>AND(SpotVsReserved!A35,"AAAAAB/3/4c=")</f>
        <v>#VALUE!</v>
      </c>
      <c r="EG10" t="e">
        <f>AND(SpotVsReserved!B35,"AAAAAB/3/4g=")</f>
        <v>#VALUE!</v>
      </c>
      <c r="EH10" t="e">
        <f>AND(SpotVsReserved!C35,"AAAAAB/3/4k=")</f>
        <v>#VALUE!</v>
      </c>
      <c r="EI10" t="e">
        <f>AND(SpotVsReserved!D35,"AAAAAB/3/4o=")</f>
        <v>#VALUE!</v>
      </c>
      <c r="EJ10" t="e">
        <f>AND(SpotVsReserved!E35,"AAAAAB/3/4s=")</f>
        <v>#VALUE!</v>
      </c>
      <c r="EK10" t="e">
        <f>AND(SpotVsReserved!F35,"AAAAAB/3/4w=")</f>
        <v>#VALUE!</v>
      </c>
      <c r="EL10" t="e">
        <f>AND(SpotVsReserved!G35,"AAAAAB/3/40=")</f>
        <v>#VALUE!</v>
      </c>
      <c r="EM10">
        <f>IF(SpotVsReserved!36:36,"AAAAAB/3/44=",0)</f>
        <v>0</v>
      </c>
      <c r="EN10" t="e">
        <f>AND(SpotVsReserved!A36,"AAAAAB/3/48=")</f>
        <v>#VALUE!</v>
      </c>
      <c r="EO10" t="e">
        <f>AND(SpotVsReserved!B36,"AAAAAB/3/5A=")</f>
        <v>#VALUE!</v>
      </c>
      <c r="EP10" t="e">
        <f>AND(SpotVsReserved!C36,"AAAAAB/3/5E=")</f>
        <v>#VALUE!</v>
      </c>
      <c r="EQ10" t="e">
        <f>AND(SpotVsReserved!D36,"AAAAAB/3/5I=")</f>
        <v>#VALUE!</v>
      </c>
      <c r="ER10" t="e">
        <f>AND(SpotVsReserved!E36,"AAAAAB/3/5M=")</f>
        <v>#VALUE!</v>
      </c>
      <c r="ES10" t="e">
        <f>AND(SpotVsReserved!F36,"AAAAAB/3/5Q=")</f>
        <v>#VALUE!</v>
      </c>
      <c r="ET10" t="e">
        <f>AND(SpotVsReserved!G36,"AAAAAB/3/5U=")</f>
        <v>#VALUE!</v>
      </c>
      <c r="EU10">
        <f>IF(SpotVsReserved!37:37,"AAAAAB/3/5Y=",0)</f>
        <v>0</v>
      </c>
      <c r="EV10" t="e">
        <f>AND(SpotVsReserved!A37,"AAAAAB/3/5c=")</f>
        <v>#VALUE!</v>
      </c>
      <c r="EW10" t="e">
        <f>AND(SpotVsReserved!B37,"AAAAAB/3/5g=")</f>
        <v>#VALUE!</v>
      </c>
      <c r="EX10" t="e">
        <f>AND(SpotVsReserved!C37,"AAAAAB/3/5k=")</f>
        <v>#VALUE!</v>
      </c>
      <c r="EY10" t="e">
        <f>AND(SpotVsReserved!D37,"AAAAAB/3/5o=")</f>
        <v>#VALUE!</v>
      </c>
      <c r="EZ10" t="e">
        <f>AND(SpotVsReserved!E37,"AAAAAB/3/5s=")</f>
        <v>#VALUE!</v>
      </c>
      <c r="FA10" t="e">
        <f>AND(SpotVsReserved!F37,"AAAAAB/3/5w=")</f>
        <v>#VALUE!</v>
      </c>
      <c r="FB10" t="e">
        <f>AND(SpotVsReserved!G37,"AAAAAB/3/50=")</f>
        <v>#VALUE!</v>
      </c>
      <c r="FC10">
        <f>IF(SpotVsReserved!38:38,"AAAAAB/3/54=",0)</f>
        <v>0</v>
      </c>
      <c r="FD10" t="e">
        <f>AND(SpotVsReserved!A38,"AAAAAB/3/58=")</f>
        <v>#VALUE!</v>
      </c>
      <c r="FE10" t="e">
        <f>AND(SpotVsReserved!B38,"AAAAAB/3/6A=")</f>
        <v>#VALUE!</v>
      </c>
      <c r="FF10" t="e">
        <f>AND(SpotVsReserved!C38,"AAAAAB/3/6E=")</f>
        <v>#VALUE!</v>
      </c>
      <c r="FG10" t="e">
        <f>AND(SpotVsReserved!D38,"AAAAAB/3/6I=")</f>
        <v>#VALUE!</v>
      </c>
      <c r="FH10" t="e">
        <f>AND(SpotVsReserved!E38,"AAAAAB/3/6M=")</f>
        <v>#VALUE!</v>
      </c>
      <c r="FI10" t="e">
        <f>AND(SpotVsReserved!F38,"AAAAAB/3/6Q=")</f>
        <v>#VALUE!</v>
      </c>
      <c r="FJ10" t="e">
        <f>AND(SpotVsReserved!G38,"AAAAAB/3/6U=")</f>
        <v>#VALUE!</v>
      </c>
      <c r="FK10">
        <f>IF(SpotVsReserved!39:39,"AAAAAB/3/6Y=",0)</f>
        <v>0</v>
      </c>
      <c r="FL10" t="e">
        <f>AND(SpotVsReserved!A39,"AAAAAB/3/6c=")</f>
        <v>#VALUE!</v>
      </c>
      <c r="FM10" t="e">
        <f>AND(SpotVsReserved!B39,"AAAAAB/3/6g=")</f>
        <v>#VALUE!</v>
      </c>
      <c r="FN10" t="e">
        <f>AND(SpotVsReserved!C39,"AAAAAB/3/6k=")</f>
        <v>#VALUE!</v>
      </c>
      <c r="FO10" t="e">
        <f>AND(SpotVsReserved!D39,"AAAAAB/3/6o=")</f>
        <v>#VALUE!</v>
      </c>
      <c r="FP10" t="e">
        <f>AND(SpotVsReserved!E39,"AAAAAB/3/6s=")</f>
        <v>#VALUE!</v>
      </c>
      <c r="FQ10" t="e">
        <f>AND(SpotVsReserved!F39,"AAAAAB/3/6w=")</f>
        <v>#VALUE!</v>
      </c>
      <c r="FR10" t="e">
        <f>AND(SpotVsReserved!G39,"AAAAAB/3/60=")</f>
        <v>#VALUE!</v>
      </c>
      <c r="FS10">
        <f>IF(SpotVsReserved!40:40,"AAAAAB/3/64=",0)</f>
        <v>0</v>
      </c>
      <c r="FT10" t="e">
        <f>AND(SpotVsReserved!A40,"AAAAAB/3/68=")</f>
        <v>#VALUE!</v>
      </c>
      <c r="FU10" t="e">
        <f>AND(SpotVsReserved!B40,"AAAAAB/3/7A=")</f>
        <v>#VALUE!</v>
      </c>
      <c r="FV10" t="e">
        <f>AND(SpotVsReserved!C40,"AAAAAB/3/7E=")</f>
        <v>#VALUE!</v>
      </c>
      <c r="FW10" t="e">
        <f>AND(SpotVsReserved!D40,"AAAAAB/3/7I=")</f>
        <v>#VALUE!</v>
      </c>
      <c r="FX10" t="e">
        <f>AND(SpotVsReserved!E40,"AAAAAB/3/7M=")</f>
        <v>#VALUE!</v>
      </c>
      <c r="FY10" t="e">
        <f>AND(SpotVsReserved!F40,"AAAAAB/3/7Q=")</f>
        <v>#VALUE!</v>
      </c>
      <c r="FZ10" t="e">
        <f>AND(SpotVsReserved!G40,"AAAAAB/3/7U=")</f>
        <v>#VALUE!</v>
      </c>
      <c r="GA10">
        <f>IF(SpotVsReserved!41:41,"AAAAAB/3/7Y=",0)</f>
        <v>0</v>
      </c>
      <c r="GB10" t="e">
        <f>AND(SpotVsReserved!A41,"AAAAAB/3/7c=")</f>
        <v>#VALUE!</v>
      </c>
      <c r="GC10" t="e">
        <f>AND(SpotVsReserved!B41,"AAAAAB/3/7g=")</f>
        <v>#VALUE!</v>
      </c>
      <c r="GD10" t="e">
        <f>AND(SpotVsReserved!C41,"AAAAAB/3/7k=")</f>
        <v>#VALUE!</v>
      </c>
      <c r="GE10" t="e">
        <f>AND(SpotVsReserved!D41,"AAAAAB/3/7o=")</f>
        <v>#VALUE!</v>
      </c>
      <c r="GF10" t="e">
        <f>AND(SpotVsReserved!E41,"AAAAAB/3/7s=")</f>
        <v>#VALUE!</v>
      </c>
      <c r="GG10" t="e">
        <f>AND(SpotVsReserved!F41,"AAAAAB/3/7w=")</f>
        <v>#VALUE!</v>
      </c>
      <c r="GH10" t="e">
        <f>AND(SpotVsReserved!G41,"AAAAAB/3/70=")</f>
        <v>#VALUE!</v>
      </c>
      <c r="GI10">
        <f>IF(SpotVsReserved!42:42,"AAAAAB/3/74=",0)</f>
        <v>0</v>
      </c>
      <c r="GJ10" t="e">
        <f>AND(SpotVsReserved!A42,"AAAAAB/3/78=")</f>
        <v>#VALUE!</v>
      </c>
      <c r="GK10" t="e">
        <f>AND(SpotVsReserved!B42,"AAAAAB/3/8A=")</f>
        <v>#VALUE!</v>
      </c>
      <c r="GL10" t="e">
        <f>AND(SpotVsReserved!C42,"AAAAAB/3/8E=")</f>
        <v>#VALUE!</v>
      </c>
      <c r="GM10" t="e">
        <f>AND(SpotVsReserved!D42,"AAAAAB/3/8I=")</f>
        <v>#VALUE!</v>
      </c>
      <c r="GN10" t="e">
        <f>AND(SpotVsReserved!E42,"AAAAAB/3/8M=")</f>
        <v>#VALUE!</v>
      </c>
      <c r="GO10" t="e">
        <f>AND(SpotVsReserved!F42,"AAAAAB/3/8Q=")</f>
        <v>#VALUE!</v>
      </c>
      <c r="GP10" t="e">
        <f>AND(SpotVsReserved!G42,"AAAAAB/3/8U=")</f>
        <v>#VALUE!</v>
      </c>
      <c r="GQ10">
        <f>IF(SpotVsReserved!43:43,"AAAAAB/3/8Y=",0)</f>
        <v>0</v>
      </c>
      <c r="GR10" t="e">
        <f>AND(SpotVsReserved!A43,"AAAAAB/3/8c=")</f>
        <v>#VALUE!</v>
      </c>
      <c r="GS10" t="e">
        <f>AND(SpotVsReserved!B43,"AAAAAB/3/8g=")</f>
        <v>#VALUE!</v>
      </c>
      <c r="GT10" t="e">
        <f>AND(SpotVsReserved!C43,"AAAAAB/3/8k=")</f>
        <v>#VALUE!</v>
      </c>
      <c r="GU10" t="e">
        <f>AND(SpotVsReserved!D43,"AAAAAB/3/8o=")</f>
        <v>#VALUE!</v>
      </c>
      <c r="GV10" t="e">
        <f>AND(SpotVsReserved!E43,"AAAAAB/3/8s=")</f>
        <v>#VALUE!</v>
      </c>
      <c r="GW10" t="e">
        <f>AND(SpotVsReserved!F43,"AAAAAB/3/8w=")</f>
        <v>#VALUE!</v>
      </c>
      <c r="GX10" t="e">
        <f>AND(SpotVsReserved!G43,"AAAAAB/3/80=")</f>
        <v>#VALUE!</v>
      </c>
      <c r="GY10">
        <f>IF(SpotVsReserved!44:44,"AAAAAB/3/84=",0)</f>
        <v>0</v>
      </c>
      <c r="GZ10" t="e">
        <f>AND(SpotVsReserved!A44,"AAAAAB/3/88=")</f>
        <v>#VALUE!</v>
      </c>
      <c r="HA10" t="e">
        <f>AND(SpotVsReserved!B44,"AAAAAB/3/9A=")</f>
        <v>#VALUE!</v>
      </c>
      <c r="HB10" t="e">
        <f>AND(SpotVsReserved!C44,"AAAAAB/3/9E=")</f>
        <v>#VALUE!</v>
      </c>
      <c r="HC10" t="e">
        <f>AND(SpotVsReserved!D44,"AAAAAB/3/9I=")</f>
        <v>#VALUE!</v>
      </c>
      <c r="HD10" t="e">
        <f>AND(SpotVsReserved!E44,"AAAAAB/3/9M=")</f>
        <v>#VALUE!</v>
      </c>
      <c r="HE10" t="e">
        <f>AND(SpotVsReserved!F44,"AAAAAB/3/9Q=")</f>
        <v>#VALUE!</v>
      </c>
      <c r="HF10" t="e">
        <f>AND(SpotVsReserved!G44,"AAAAAB/3/9U=")</f>
        <v>#VALUE!</v>
      </c>
      <c r="HG10">
        <f>IF(SpotVsReserved!45:45,"AAAAAB/3/9Y=",0)</f>
        <v>0</v>
      </c>
      <c r="HH10" t="e">
        <f>AND(SpotVsReserved!A45,"AAAAAB/3/9c=")</f>
        <v>#VALUE!</v>
      </c>
      <c r="HI10" t="e">
        <f>AND(SpotVsReserved!B45,"AAAAAB/3/9g=")</f>
        <v>#VALUE!</v>
      </c>
      <c r="HJ10" t="e">
        <f>AND(SpotVsReserved!C45,"AAAAAB/3/9k=")</f>
        <v>#VALUE!</v>
      </c>
      <c r="HK10" t="e">
        <f>AND(SpotVsReserved!D45,"AAAAAB/3/9o=")</f>
        <v>#VALUE!</v>
      </c>
      <c r="HL10" t="e">
        <f>AND(SpotVsReserved!E45,"AAAAAB/3/9s=")</f>
        <v>#VALUE!</v>
      </c>
      <c r="HM10" t="e">
        <f>AND(SpotVsReserved!F45,"AAAAAB/3/9w=")</f>
        <v>#VALUE!</v>
      </c>
      <c r="HN10" t="e">
        <f>AND(SpotVsReserved!G45,"AAAAAB/3/90=")</f>
        <v>#VALUE!</v>
      </c>
      <c r="HO10">
        <f>IF(SpotVsReserved!46:46,"AAAAAB/3/94=",0)</f>
        <v>0</v>
      </c>
      <c r="HP10" t="e">
        <f>AND(SpotVsReserved!A46,"AAAAAB/3/98=")</f>
        <v>#VALUE!</v>
      </c>
      <c r="HQ10" t="e">
        <f>AND(SpotVsReserved!B46,"AAAAAB/3/+A=")</f>
        <v>#VALUE!</v>
      </c>
      <c r="HR10" t="e">
        <f>AND(SpotVsReserved!C46,"AAAAAB/3/+E=")</f>
        <v>#VALUE!</v>
      </c>
      <c r="HS10" t="e">
        <f>AND(SpotVsReserved!D46,"AAAAAB/3/+I=")</f>
        <v>#VALUE!</v>
      </c>
      <c r="HT10" t="e">
        <f>AND(SpotVsReserved!E46,"AAAAAB/3/+M=")</f>
        <v>#VALUE!</v>
      </c>
      <c r="HU10" t="e">
        <f>AND(SpotVsReserved!F46,"AAAAAB/3/+Q=")</f>
        <v>#VALUE!</v>
      </c>
      <c r="HV10" t="e">
        <f>AND(SpotVsReserved!G46,"AAAAAB/3/+U=")</f>
        <v>#VALUE!</v>
      </c>
      <c r="HW10">
        <f>IF(SpotVsReserved!47:47,"AAAAAB/3/+Y=",0)</f>
        <v>0</v>
      </c>
      <c r="HX10" t="e">
        <f>AND(SpotVsReserved!A47,"AAAAAB/3/+c=")</f>
        <v>#VALUE!</v>
      </c>
      <c r="HY10" t="e">
        <f>AND(SpotVsReserved!B47,"AAAAAB/3/+g=")</f>
        <v>#VALUE!</v>
      </c>
      <c r="HZ10" t="e">
        <f>AND(SpotVsReserved!C47,"AAAAAB/3/+k=")</f>
        <v>#VALUE!</v>
      </c>
      <c r="IA10" t="e">
        <f>AND(SpotVsReserved!D47,"AAAAAB/3/+o=")</f>
        <v>#VALUE!</v>
      </c>
      <c r="IB10" t="e">
        <f>AND(SpotVsReserved!E47,"AAAAAB/3/+s=")</f>
        <v>#VALUE!</v>
      </c>
      <c r="IC10" t="e">
        <f>AND(SpotVsReserved!F47,"AAAAAB/3/+w=")</f>
        <v>#VALUE!</v>
      </c>
      <c r="ID10" t="e">
        <f>AND(SpotVsReserved!G47,"AAAAAB/3/+0=")</f>
        <v>#VALUE!</v>
      </c>
      <c r="IE10">
        <f>IF(SpotVsReserved!48:48,"AAAAAB/3/+4=",0)</f>
        <v>0</v>
      </c>
      <c r="IF10" t="e">
        <f>AND(SpotVsReserved!A48,"AAAAAB/3/+8=")</f>
        <v>#VALUE!</v>
      </c>
      <c r="IG10" t="e">
        <f>AND(SpotVsReserved!B48,"AAAAAB/3//A=")</f>
        <v>#VALUE!</v>
      </c>
      <c r="IH10" t="e">
        <f>AND(SpotVsReserved!C48,"AAAAAB/3//E=")</f>
        <v>#VALUE!</v>
      </c>
      <c r="II10" t="e">
        <f>AND(SpotVsReserved!D48,"AAAAAB/3//I=")</f>
        <v>#VALUE!</v>
      </c>
      <c r="IJ10" t="e">
        <f>AND(SpotVsReserved!E48,"AAAAAB/3//M=")</f>
        <v>#VALUE!</v>
      </c>
      <c r="IK10" t="e">
        <f>AND(SpotVsReserved!F48,"AAAAAB/3//Q=")</f>
        <v>#VALUE!</v>
      </c>
      <c r="IL10" t="e">
        <f>AND(SpotVsReserved!G48,"AAAAAB/3//U=")</f>
        <v>#VALUE!</v>
      </c>
      <c r="IM10">
        <f>IF(SpotVsReserved!49:49,"AAAAAB/3//Y=",0)</f>
        <v>0</v>
      </c>
      <c r="IN10" t="e">
        <f>AND(SpotVsReserved!A49,"AAAAAB/3//c=")</f>
        <v>#VALUE!</v>
      </c>
      <c r="IO10" t="e">
        <f>AND(SpotVsReserved!B49,"AAAAAB/3//g=")</f>
        <v>#VALUE!</v>
      </c>
      <c r="IP10" t="e">
        <f>AND(SpotVsReserved!C49,"AAAAAB/3//k=")</f>
        <v>#VALUE!</v>
      </c>
      <c r="IQ10" t="e">
        <f>AND(SpotVsReserved!D49,"AAAAAB/3//o=")</f>
        <v>#VALUE!</v>
      </c>
      <c r="IR10" t="e">
        <f>AND(SpotVsReserved!E49,"AAAAAB/3//s=")</f>
        <v>#VALUE!</v>
      </c>
      <c r="IS10" t="e">
        <f>AND(SpotVsReserved!F49,"AAAAAB/3//w=")</f>
        <v>#VALUE!</v>
      </c>
      <c r="IT10" t="e">
        <f>AND(SpotVsReserved!G49,"AAAAAB/3//0=")</f>
        <v>#VALUE!</v>
      </c>
      <c r="IU10">
        <f>IF(SpotVsReserved!50:50,"AAAAAB/3//4=",0)</f>
        <v>0</v>
      </c>
      <c r="IV10" t="e">
        <f>AND(SpotVsReserved!A50,"AAAAAB/3//8=")</f>
        <v>#VALUE!</v>
      </c>
    </row>
    <row r="11" spans="1:256" x14ac:dyDescent="0.25">
      <c r="A11" t="e">
        <f>AND(SpotVsReserved!B50,"AAAAAF/73gA=")</f>
        <v>#VALUE!</v>
      </c>
      <c r="B11" t="e">
        <f>AND(SpotVsReserved!C50,"AAAAAF/73gE=")</f>
        <v>#VALUE!</v>
      </c>
      <c r="C11" t="e">
        <f>AND(SpotVsReserved!D50,"AAAAAF/73gI=")</f>
        <v>#VALUE!</v>
      </c>
      <c r="D11" t="e">
        <f>AND(SpotVsReserved!E50,"AAAAAF/73gM=")</f>
        <v>#VALUE!</v>
      </c>
      <c r="E11" t="e">
        <f>AND(SpotVsReserved!F50,"AAAAAF/73gQ=")</f>
        <v>#VALUE!</v>
      </c>
      <c r="F11" t="e">
        <f>AND(SpotVsReserved!G50,"AAAAAF/73gU=")</f>
        <v>#VALUE!</v>
      </c>
      <c r="G11" t="str">
        <f>IF(SpotVsReserved!51:51,"AAAAAF/73gY=",0)</f>
        <v>AAAAAF/73gY=</v>
      </c>
      <c r="H11" t="e">
        <f>AND(SpotVsReserved!A51,"AAAAAF/73gc=")</f>
        <v>#VALUE!</v>
      </c>
      <c r="I11" t="e">
        <f>AND(SpotVsReserved!B51,"AAAAAF/73gg=")</f>
        <v>#VALUE!</v>
      </c>
      <c r="J11" t="e">
        <f>AND(SpotVsReserved!C51,"AAAAAF/73gk=")</f>
        <v>#VALUE!</v>
      </c>
      <c r="K11" t="e">
        <f>AND(SpotVsReserved!D51,"AAAAAF/73go=")</f>
        <v>#VALUE!</v>
      </c>
      <c r="L11" t="e">
        <f>AND(SpotVsReserved!E51,"AAAAAF/73gs=")</f>
        <v>#VALUE!</v>
      </c>
      <c r="M11" t="e">
        <f>AND(SpotVsReserved!F51,"AAAAAF/73gw=")</f>
        <v>#VALUE!</v>
      </c>
      <c r="N11" t="e">
        <f>AND(SpotVsReserved!G51,"AAAAAF/73g0=")</f>
        <v>#VALUE!</v>
      </c>
      <c r="O11">
        <f>IF(SpotVsReserved!52:52,"AAAAAF/73g4=",0)</f>
        <v>0</v>
      </c>
      <c r="P11" t="e">
        <f>AND(SpotVsReserved!A52,"AAAAAF/73g8=")</f>
        <v>#VALUE!</v>
      </c>
      <c r="Q11" t="e">
        <f>AND(SpotVsReserved!B52,"AAAAAF/73hA=")</f>
        <v>#VALUE!</v>
      </c>
      <c r="R11" t="e">
        <f>AND(SpotVsReserved!C52,"AAAAAF/73hE=")</f>
        <v>#VALUE!</v>
      </c>
      <c r="S11" t="e">
        <f>AND(SpotVsReserved!D52,"AAAAAF/73hI=")</f>
        <v>#VALUE!</v>
      </c>
      <c r="T11" t="e">
        <f>AND(SpotVsReserved!E52,"AAAAAF/73hM=")</f>
        <v>#VALUE!</v>
      </c>
      <c r="U11" t="e">
        <f>AND(SpotVsReserved!F52,"AAAAAF/73hQ=")</f>
        <v>#VALUE!</v>
      </c>
      <c r="V11" t="e">
        <f>AND(SpotVsReserved!G52,"AAAAAF/73hU=")</f>
        <v>#VALUE!</v>
      </c>
      <c r="W11">
        <f>IF(SpotVsReserved!53:53,"AAAAAF/73hY=",0)</f>
        <v>0</v>
      </c>
      <c r="X11" t="e">
        <f>AND(SpotVsReserved!A53,"AAAAAF/73hc=")</f>
        <v>#VALUE!</v>
      </c>
      <c r="Y11" t="e">
        <f>AND(SpotVsReserved!B53,"AAAAAF/73hg=")</f>
        <v>#VALUE!</v>
      </c>
      <c r="Z11" t="e">
        <f>AND(SpotVsReserved!C53,"AAAAAF/73hk=")</f>
        <v>#VALUE!</v>
      </c>
      <c r="AA11" t="e">
        <f>AND(SpotVsReserved!D53,"AAAAAF/73ho=")</f>
        <v>#VALUE!</v>
      </c>
      <c r="AB11" t="e">
        <f>AND(SpotVsReserved!E53,"AAAAAF/73hs=")</f>
        <v>#VALUE!</v>
      </c>
      <c r="AC11" t="e">
        <f>AND(SpotVsReserved!F53,"AAAAAF/73hw=")</f>
        <v>#VALUE!</v>
      </c>
      <c r="AD11" t="e">
        <f>AND(SpotVsReserved!G53,"AAAAAF/73h0=")</f>
        <v>#VALUE!</v>
      </c>
      <c r="AE11">
        <f>IF(SpotVsReserved!54:54,"AAAAAF/73h4=",0)</f>
        <v>0</v>
      </c>
      <c r="AF11" t="e">
        <f>AND(SpotVsReserved!A54,"AAAAAF/73h8=")</f>
        <v>#VALUE!</v>
      </c>
      <c r="AG11" t="e">
        <f>AND(SpotVsReserved!B54,"AAAAAF/73iA=")</f>
        <v>#VALUE!</v>
      </c>
      <c r="AH11" t="e">
        <f>AND(SpotVsReserved!C54,"AAAAAF/73iE=")</f>
        <v>#VALUE!</v>
      </c>
      <c r="AI11" t="e">
        <f>AND(SpotVsReserved!D54,"AAAAAF/73iI=")</f>
        <v>#VALUE!</v>
      </c>
      <c r="AJ11" t="e">
        <f>AND(SpotVsReserved!E54,"AAAAAF/73iM=")</f>
        <v>#VALUE!</v>
      </c>
      <c r="AK11" t="e">
        <f>AND(SpotVsReserved!F54,"AAAAAF/73iQ=")</f>
        <v>#VALUE!</v>
      </c>
      <c r="AL11" t="e">
        <f>AND(SpotVsReserved!G54,"AAAAAF/73iU=")</f>
        <v>#VALUE!</v>
      </c>
      <c r="AM11">
        <f>IF(SpotVsReserved!55:55,"AAAAAF/73iY=",0)</f>
        <v>0</v>
      </c>
      <c r="AN11" t="e">
        <f>AND(SpotVsReserved!A55,"AAAAAF/73ic=")</f>
        <v>#VALUE!</v>
      </c>
      <c r="AO11" t="e">
        <f>AND(SpotVsReserved!B55,"AAAAAF/73ig=")</f>
        <v>#VALUE!</v>
      </c>
      <c r="AP11" t="e">
        <f>AND(SpotVsReserved!C55,"AAAAAF/73ik=")</f>
        <v>#VALUE!</v>
      </c>
      <c r="AQ11" t="e">
        <f>AND(SpotVsReserved!D55,"AAAAAF/73io=")</f>
        <v>#VALUE!</v>
      </c>
      <c r="AR11" t="e">
        <f>AND(SpotVsReserved!E55,"AAAAAF/73is=")</f>
        <v>#VALUE!</v>
      </c>
      <c r="AS11" t="e">
        <f>AND(SpotVsReserved!F55,"AAAAAF/73iw=")</f>
        <v>#VALUE!</v>
      </c>
      <c r="AT11" t="e">
        <f>AND(SpotVsReserved!G55,"AAAAAF/73i0=")</f>
        <v>#VALUE!</v>
      </c>
      <c r="AU11">
        <f>IF(SpotVsReserved!56:56,"AAAAAF/73i4=",0)</f>
        <v>0</v>
      </c>
      <c r="AV11" t="e">
        <f>AND(SpotVsReserved!A56,"AAAAAF/73i8=")</f>
        <v>#VALUE!</v>
      </c>
      <c r="AW11" t="e">
        <f>AND(SpotVsReserved!B56,"AAAAAF/73jA=")</f>
        <v>#VALUE!</v>
      </c>
      <c r="AX11" t="e">
        <f>AND(SpotVsReserved!C56,"AAAAAF/73jE=")</f>
        <v>#VALUE!</v>
      </c>
      <c r="AY11" t="e">
        <f>AND(SpotVsReserved!D56,"AAAAAF/73jI=")</f>
        <v>#VALUE!</v>
      </c>
      <c r="AZ11" t="e">
        <f>AND(SpotVsReserved!E56,"AAAAAF/73jM=")</f>
        <v>#VALUE!</v>
      </c>
      <c r="BA11" t="e">
        <f>AND(SpotVsReserved!F56,"AAAAAF/73jQ=")</f>
        <v>#VALUE!</v>
      </c>
      <c r="BB11" t="e">
        <f>AND(SpotVsReserved!G56,"AAAAAF/73jU=")</f>
        <v>#VALUE!</v>
      </c>
      <c r="BC11">
        <f>IF(SpotVsReserved!57:57,"AAAAAF/73jY=",0)</f>
        <v>0</v>
      </c>
      <c r="BD11" t="e">
        <f>AND(SpotVsReserved!A57,"AAAAAF/73jc=")</f>
        <v>#VALUE!</v>
      </c>
      <c r="BE11" t="e">
        <f>AND(SpotVsReserved!B57,"AAAAAF/73jg=")</f>
        <v>#VALUE!</v>
      </c>
      <c r="BF11" t="e">
        <f>AND(SpotVsReserved!C57,"AAAAAF/73jk=")</f>
        <v>#VALUE!</v>
      </c>
      <c r="BG11" t="e">
        <f>AND(SpotVsReserved!D57,"AAAAAF/73jo=")</f>
        <v>#VALUE!</v>
      </c>
      <c r="BH11" t="e">
        <f>AND(SpotVsReserved!E57,"AAAAAF/73js=")</f>
        <v>#VALUE!</v>
      </c>
      <c r="BI11" t="e">
        <f>AND(SpotVsReserved!F57,"AAAAAF/73jw=")</f>
        <v>#VALUE!</v>
      </c>
      <c r="BJ11" t="e">
        <f>AND(SpotVsReserved!G57,"AAAAAF/73j0=")</f>
        <v>#VALUE!</v>
      </c>
      <c r="BK11">
        <f>IF(SpotVsReserved!58:58,"AAAAAF/73j4=",0)</f>
        <v>0</v>
      </c>
      <c r="BL11" t="e">
        <f>AND(SpotVsReserved!A58,"AAAAAF/73j8=")</f>
        <v>#VALUE!</v>
      </c>
      <c r="BM11" t="e">
        <f>AND(SpotVsReserved!B58,"AAAAAF/73kA=")</f>
        <v>#VALUE!</v>
      </c>
      <c r="BN11" t="e">
        <f>AND(SpotVsReserved!C58,"AAAAAF/73kE=")</f>
        <v>#VALUE!</v>
      </c>
      <c r="BO11" t="e">
        <f>AND(SpotVsReserved!D58,"AAAAAF/73kI=")</f>
        <v>#VALUE!</v>
      </c>
      <c r="BP11" t="e">
        <f>AND(SpotVsReserved!E58,"AAAAAF/73kM=")</f>
        <v>#VALUE!</v>
      </c>
      <c r="BQ11" t="e">
        <f>AND(SpotVsReserved!F58,"AAAAAF/73kQ=")</f>
        <v>#VALUE!</v>
      </c>
      <c r="BR11" t="e">
        <f>AND(SpotVsReserved!G58,"AAAAAF/73kU=")</f>
        <v>#VALUE!</v>
      </c>
      <c r="BS11">
        <f>IF(SpotVsReserved!59:59,"AAAAAF/73kY=",0)</f>
        <v>0</v>
      </c>
      <c r="BT11" t="e">
        <f>AND(SpotVsReserved!A59,"AAAAAF/73kc=")</f>
        <v>#VALUE!</v>
      </c>
      <c r="BU11" t="e">
        <f>AND(SpotVsReserved!B59,"AAAAAF/73kg=")</f>
        <v>#VALUE!</v>
      </c>
      <c r="BV11" t="e">
        <f>AND(SpotVsReserved!C59,"AAAAAF/73kk=")</f>
        <v>#VALUE!</v>
      </c>
      <c r="BW11" t="e">
        <f>AND(SpotVsReserved!D59,"AAAAAF/73ko=")</f>
        <v>#VALUE!</v>
      </c>
      <c r="BX11" t="e">
        <f>AND(SpotVsReserved!E59,"AAAAAF/73ks=")</f>
        <v>#VALUE!</v>
      </c>
      <c r="BY11" t="e">
        <f>AND(SpotVsReserved!F59,"AAAAAF/73kw=")</f>
        <v>#VALUE!</v>
      </c>
      <c r="BZ11" t="e">
        <f>AND(SpotVsReserved!G59,"AAAAAF/73k0=")</f>
        <v>#VALUE!</v>
      </c>
      <c r="CA11">
        <f>IF(SpotVsReserved!60:60,"AAAAAF/73k4=",0)</f>
        <v>0</v>
      </c>
      <c r="CB11" t="e">
        <f>AND(SpotVsReserved!A60,"AAAAAF/73k8=")</f>
        <v>#VALUE!</v>
      </c>
      <c r="CC11" t="e">
        <f>AND(SpotVsReserved!B60,"AAAAAF/73lA=")</f>
        <v>#VALUE!</v>
      </c>
      <c r="CD11" t="e">
        <f>AND(SpotVsReserved!C60,"AAAAAF/73lE=")</f>
        <v>#VALUE!</v>
      </c>
      <c r="CE11" t="e">
        <f>AND(SpotVsReserved!D60,"AAAAAF/73lI=")</f>
        <v>#VALUE!</v>
      </c>
      <c r="CF11" t="e">
        <f>AND(SpotVsReserved!E60,"AAAAAF/73lM=")</f>
        <v>#VALUE!</v>
      </c>
      <c r="CG11" t="e">
        <f>AND(SpotVsReserved!F60,"AAAAAF/73lQ=")</f>
        <v>#VALUE!</v>
      </c>
      <c r="CH11" t="e">
        <f>AND(SpotVsReserved!G60,"AAAAAF/73lU=")</f>
        <v>#VALUE!</v>
      </c>
      <c r="CI11">
        <f>IF(SpotVsReserved!61:61,"AAAAAF/73lY=",0)</f>
        <v>0</v>
      </c>
      <c r="CJ11" t="e">
        <f>AND(SpotVsReserved!A61,"AAAAAF/73lc=")</f>
        <v>#VALUE!</v>
      </c>
      <c r="CK11" t="e">
        <f>AND(SpotVsReserved!B61,"AAAAAF/73lg=")</f>
        <v>#VALUE!</v>
      </c>
      <c r="CL11" t="e">
        <f>AND(SpotVsReserved!C61,"AAAAAF/73lk=")</f>
        <v>#VALUE!</v>
      </c>
      <c r="CM11" t="e">
        <f>AND(SpotVsReserved!D61,"AAAAAF/73lo=")</f>
        <v>#VALUE!</v>
      </c>
      <c r="CN11" t="e">
        <f>AND(SpotVsReserved!E61,"AAAAAF/73ls=")</f>
        <v>#VALUE!</v>
      </c>
      <c r="CO11" t="e">
        <f>AND(SpotVsReserved!F61,"AAAAAF/73lw=")</f>
        <v>#VALUE!</v>
      </c>
      <c r="CP11" t="e">
        <f>AND(SpotVsReserved!G61,"AAAAAF/73l0=")</f>
        <v>#VALUE!</v>
      </c>
      <c r="CQ11">
        <f>IF(SpotVsReserved!62:62,"AAAAAF/73l4=",0)</f>
        <v>0</v>
      </c>
      <c r="CR11" t="e">
        <f>AND(SpotVsReserved!A62,"AAAAAF/73l8=")</f>
        <v>#VALUE!</v>
      </c>
      <c r="CS11" t="e">
        <f>AND(SpotVsReserved!B62,"AAAAAF/73mA=")</f>
        <v>#VALUE!</v>
      </c>
      <c r="CT11" t="e">
        <f>AND(SpotVsReserved!C62,"AAAAAF/73mE=")</f>
        <v>#VALUE!</v>
      </c>
      <c r="CU11" t="e">
        <f>AND(SpotVsReserved!D62,"AAAAAF/73mI=")</f>
        <v>#VALUE!</v>
      </c>
      <c r="CV11" t="e">
        <f>AND(SpotVsReserved!E62,"AAAAAF/73mM=")</f>
        <v>#VALUE!</v>
      </c>
      <c r="CW11" t="e">
        <f>AND(SpotVsReserved!F62,"AAAAAF/73mQ=")</f>
        <v>#VALUE!</v>
      </c>
      <c r="CX11" t="e">
        <f>AND(SpotVsReserved!G62,"AAAAAF/73mU=")</f>
        <v>#VALUE!</v>
      </c>
      <c r="CY11">
        <f>IF(SpotVsReserved!63:63,"AAAAAF/73mY=",0)</f>
        <v>0</v>
      </c>
      <c r="CZ11" t="e">
        <f>AND(SpotVsReserved!A63,"AAAAAF/73mc=")</f>
        <v>#VALUE!</v>
      </c>
      <c r="DA11" t="e">
        <f>AND(SpotVsReserved!B63,"AAAAAF/73mg=")</f>
        <v>#VALUE!</v>
      </c>
      <c r="DB11" t="e">
        <f>AND(SpotVsReserved!C63,"AAAAAF/73mk=")</f>
        <v>#VALUE!</v>
      </c>
      <c r="DC11" t="e">
        <f>AND(SpotVsReserved!D63,"AAAAAF/73mo=")</f>
        <v>#VALUE!</v>
      </c>
      <c r="DD11" t="e">
        <f>AND(SpotVsReserved!E63,"AAAAAF/73ms=")</f>
        <v>#VALUE!</v>
      </c>
      <c r="DE11" t="e">
        <f>AND(SpotVsReserved!F63,"AAAAAF/73mw=")</f>
        <v>#VALUE!</v>
      </c>
      <c r="DF11" t="e">
        <f>AND(SpotVsReserved!G63,"AAAAAF/73m0=")</f>
        <v>#VALUE!</v>
      </c>
      <c r="DG11">
        <f>IF(SpotVsReserved!64:64,"AAAAAF/73m4=",0)</f>
        <v>0</v>
      </c>
      <c r="DH11" t="e">
        <f>AND(SpotVsReserved!A64,"AAAAAF/73m8=")</f>
        <v>#VALUE!</v>
      </c>
      <c r="DI11" t="e">
        <f>AND(SpotVsReserved!B64,"AAAAAF/73nA=")</f>
        <v>#VALUE!</v>
      </c>
      <c r="DJ11" t="e">
        <f>AND(SpotVsReserved!C64,"AAAAAF/73nE=")</f>
        <v>#VALUE!</v>
      </c>
      <c r="DK11" t="e">
        <f>AND(SpotVsReserved!D64,"AAAAAF/73nI=")</f>
        <v>#VALUE!</v>
      </c>
      <c r="DL11" t="e">
        <f>AND(SpotVsReserved!E64,"AAAAAF/73nM=")</f>
        <v>#VALUE!</v>
      </c>
      <c r="DM11" t="e">
        <f>AND(SpotVsReserved!F64,"AAAAAF/73nQ=")</f>
        <v>#VALUE!</v>
      </c>
      <c r="DN11" t="e">
        <f>AND(SpotVsReserved!G64,"AAAAAF/73nU=")</f>
        <v>#VALUE!</v>
      </c>
      <c r="DO11">
        <f>IF(SpotVsReserved!65:65,"AAAAAF/73nY=",0)</f>
        <v>0</v>
      </c>
      <c r="DP11" t="e">
        <f>AND(SpotVsReserved!A65,"AAAAAF/73nc=")</f>
        <v>#VALUE!</v>
      </c>
      <c r="DQ11" t="e">
        <f>AND(SpotVsReserved!B65,"AAAAAF/73ng=")</f>
        <v>#VALUE!</v>
      </c>
      <c r="DR11" t="e">
        <f>AND(SpotVsReserved!C65,"AAAAAF/73nk=")</f>
        <v>#VALUE!</v>
      </c>
      <c r="DS11" t="e">
        <f>AND(SpotVsReserved!D65,"AAAAAF/73no=")</f>
        <v>#VALUE!</v>
      </c>
      <c r="DT11" t="e">
        <f>AND(SpotVsReserved!E65,"AAAAAF/73ns=")</f>
        <v>#VALUE!</v>
      </c>
      <c r="DU11" t="e">
        <f>AND(SpotVsReserved!F65,"AAAAAF/73nw=")</f>
        <v>#VALUE!</v>
      </c>
      <c r="DV11" t="e">
        <f>AND(SpotVsReserved!G65,"AAAAAF/73n0=")</f>
        <v>#VALUE!</v>
      </c>
      <c r="DW11">
        <f>IF(SpotVsReserved!66:66,"AAAAAF/73n4=",0)</f>
        <v>0</v>
      </c>
      <c r="DX11" t="e">
        <f>AND(SpotVsReserved!A66,"AAAAAF/73n8=")</f>
        <v>#VALUE!</v>
      </c>
      <c r="DY11" t="e">
        <f>AND(SpotVsReserved!B66,"AAAAAF/73oA=")</f>
        <v>#VALUE!</v>
      </c>
      <c r="DZ11" t="e">
        <f>AND(SpotVsReserved!C66,"AAAAAF/73oE=")</f>
        <v>#VALUE!</v>
      </c>
      <c r="EA11" t="e">
        <f>AND(SpotVsReserved!D66,"AAAAAF/73oI=")</f>
        <v>#VALUE!</v>
      </c>
      <c r="EB11" t="e">
        <f>AND(SpotVsReserved!E66,"AAAAAF/73oM=")</f>
        <v>#VALUE!</v>
      </c>
      <c r="EC11" t="e">
        <f>AND(SpotVsReserved!F66,"AAAAAF/73oQ=")</f>
        <v>#VALUE!</v>
      </c>
      <c r="ED11" t="e">
        <f>AND(SpotVsReserved!G66,"AAAAAF/73oU=")</f>
        <v>#VALUE!</v>
      </c>
      <c r="EE11">
        <f>IF(SpotVsReserved!67:67,"AAAAAF/73oY=",0)</f>
        <v>0</v>
      </c>
      <c r="EF11" t="e">
        <f>AND(SpotVsReserved!A67,"AAAAAF/73oc=")</f>
        <v>#VALUE!</v>
      </c>
      <c r="EG11" t="e">
        <f>AND(SpotVsReserved!B67,"AAAAAF/73og=")</f>
        <v>#VALUE!</v>
      </c>
      <c r="EH11" t="e">
        <f>AND(SpotVsReserved!C67,"AAAAAF/73ok=")</f>
        <v>#VALUE!</v>
      </c>
      <c r="EI11" t="e">
        <f>AND(SpotVsReserved!D67,"AAAAAF/73oo=")</f>
        <v>#VALUE!</v>
      </c>
      <c r="EJ11" t="e">
        <f>AND(SpotVsReserved!E67,"AAAAAF/73os=")</f>
        <v>#VALUE!</v>
      </c>
      <c r="EK11" t="e">
        <f>AND(SpotVsReserved!F67,"AAAAAF/73ow=")</f>
        <v>#VALUE!</v>
      </c>
      <c r="EL11" t="e">
        <f>AND(SpotVsReserved!G67,"AAAAAF/73o0=")</f>
        <v>#VALUE!</v>
      </c>
      <c r="EM11">
        <f>IF(SpotVsReserved!68:68,"AAAAAF/73o4=",0)</f>
        <v>0</v>
      </c>
      <c r="EN11" t="e">
        <f>AND(SpotVsReserved!A68,"AAAAAF/73o8=")</f>
        <v>#VALUE!</v>
      </c>
      <c r="EO11" t="e">
        <f>AND(SpotVsReserved!B68,"AAAAAF/73pA=")</f>
        <v>#VALUE!</v>
      </c>
      <c r="EP11" t="e">
        <f>AND(SpotVsReserved!C68,"AAAAAF/73pE=")</f>
        <v>#VALUE!</v>
      </c>
      <c r="EQ11" t="e">
        <f>AND(SpotVsReserved!D68,"AAAAAF/73pI=")</f>
        <v>#VALUE!</v>
      </c>
      <c r="ER11" t="e">
        <f>AND(SpotVsReserved!E68,"AAAAAF/73pM=")</f>
        <v>#VALUE!</v>
      </c>
      <c r="ES11" t="e">
        <f>AND(SpotVsReserved!F68,"AAAAAF/73pQ=")</f>
        <v>#VALUE!</v>
      </c>
      <c r="ET11" t="e">
        <f>AND(SpotVsReserved!G68,"AAAAAF/73pU=")</f>
        <v>#VALUE!</v>
      </c>
      <c r="EU11">
        <f>IF(SpotVsReserved!69:69,"AAAAAF/73pY=",0)</f>
        <v>0</v>
      </c>
      <c r="EV11" t="e">
        <f>AND(SpotVsReserved!A69,"AAAAAF/73pc=")</f>
        <v>#VALUE!</v>
      </c>
      <c r="EW11" t="e">
        <f>AND(SpotVsReserved!B69,"AAAAAF/73pg=")</f>
        <v>#VALUE!</v>
      </c>
      <c r="EX11" t="e">
        <f>AND(SpotVsReserved!C69,"AAAAAF/73pk=")</f>
        <v>#VALUE!</v>
      </c>
      <c r="EY11" t="e">
        <f>AND(SpotVsReserved!D69,"AAAAAF/73po=")</f>
        <v>#VALUE!</v>
      </c>
      <c r="EZ11" t="e">
        <f>AND(SpotVsReserved!E69,"AAAAAF/73ps=")</f>
        <v>#VALUE!</v>
      </c>
      <c r="FA11" t="e">
        <f>AND(SpotVsReserved!F69,"AAAAAF/73pw=")</f>
        <v>#VALUE!</v>
      </c>
      <c r="FB11" t="e">
        <f>AND(SpotVsReserved!G69,"AAAAAF/73p0=")</f>
        <v>#VALUE!</v>
      </c>
      <c r="FC11">
        <f>IF(SpotVsReserved!70:70,"AAAAAF/73p4=",0)</f>
        <v>0</v>
      </c>
      <c r="FD11" t="e">
        <f>AND(SpotVsReserved!A70,"AAAAAF/73p8=")</f>
        <v>#VALUE!</v>
      </c>
      <c r="FE11" t="e">
        <f>AND(SpotVsReserved!B70,"AAAAAF/73qA=")</f>
        <v>#VALUE!</v>
      </c>
      <c r="FF11" t="e">
        <f>AND(SpotVsReserved!C70,"AAAAAF/73qE=")</f>
        <v>#VALUE!</v>
      </c>
      <c r="FG11" t="e">
        <f>AND(SpotVsReserved!D70,"AAAAAF/73qI=")</f>
        <v>#VALUE!</v>
      </c>
      <c r="FH11" t="e">
        <f>AND(SpotVsReserved!E70,"AAAAAF/73qM=")</f>
        <v>#VALUE!</v>
      </c>
      <c r="FI11" t="e">
        <f>AND(SpotVsReserved!F70,"AAAAAF/73qQ=")</f>
        <v>#VALUE!</v>
      </c>
      <c r="FJ11" t="e">
        <f>AND(SpotVsReserved!G70,"AAAAAF/73qU=")</f>
        <v>#VALUE!</v>
      </c>
      <c r="FK11">
        <f>IF(SpotVsReserved!71:71,"AAAAAF/73qY=",0)</f>
        <v>0</v>
      </c>
      <c r="FL11" t="e">
        <f>AND(SpotVsReserved!A71,"AAAAAF/73qc=")</f>
        <v>#VALUE!</v>
      </c>
      <c r="FM11" t="e">
        <f>AND(SpotVsReserved!B71,"AAAAAF/73qg=")</f>
        <v>#VALUE!</v>
      </c>
      <c r="FN11" t="e">
        <f>AND(SpotVsReserved!C71,"AAAAAF/73qk=")</f>
        <v>#VALUE!</v>
      </c>
      <c r="FO11" t="e">
        <f>AND(SpotVsReserved!D71,"AAAAAF/73qo=")</f>
        <v>#VALUE!</v>
      </c>
      <c r="FP11" t="e">
        <f>AND(SpotVsReserved!E71,"AAAAAF/73qs=")</f>
        <v>#VALUE!</v>
      </c>
      <c r="FQ11" t="e">
        <f>AND(SpotVsReserved!F71,"AAAAAF/73qw=")</f>
        <v>#VALUE!</v>
      </c>
      <c r="FR11" t="e">
        <f>AND(SpotVsReserved!G71,"AAAAAF/73q0=")</f>
        <v>#VALUE!</v>
      </c>
      <c r="FS11">
        <f>IF(SpotVsReserved!72:72,"AAAAAF/73q4=",0)</f>
        <v>0</v>
      </c>
      <c r="FT11" t="e">
        <f>AND(SpotVsReserved!A72,"AAAAAF/73q8=")</f>
        <v>#VALUE!</v>
      </c>
      <c r="FU11" t="e">
        <f>AND(SpotVsReserved!B72,"AAAAAF/73rA=")</f>
        <v>#VALUE!</v>
      </c>
      <c r="FV11" t="e">
        <f>AND(SpotVsReserved!C72,"AAAAAF/73rE=")</f>
        <v>#VALUE!</v>
      </c>
      <c r="FW11" t="e">
        <f>AND(SpotVsReserved!D72,"AAAAAF/73rI=")</f>
        <v>#VALUE!</v>
      </c>
      <c r="FX11" t="e">
        <f>AND(SpotVsReserved!E72,"AAAAAF/73rM=")</f>
        <v>#VALUE!</v>
      </c>
      <c r="FY11" t="e">
        <f>AND(SpotVsReserved!F72,"AAAAAF/73rQ=")</f>
        <v>#VALUE!</v>
      </c>
      <c r="FZ11" t="e">
        <f>AND(SpotVsReserved!G72,"AAAAAF/73rU=")</f>
        <v>#VALUE!</v>
      </c>
      <c r="GA11">
        <f>IF(SpotVsReserved!73:73,"AAAAAF/73rY=",0)</f>
        <v>0</v>
      </c>
      <c r="GB11" t="e">
        <f>AND(SpotVsReserved!A73,"AAAAAF/73rc=")</f>
        <v>#VALUE!</v>
      </c>
      <c r="GC11" t="e">
        <f>AND(SpotVsReserved!B73,"AAAAAF/73rg=")</f>
        <v>#VALUE!</v>
      </c>
      <c r="GD11" t="e">
        <f>AND(SpotVsReserved!C73,"AAAAAF/73rk=")</f>
        <v>#VALUE!</v>
      </c>
      <c r="GE11" t="e">
        <f>AND(SpotVsReserved!D73,"AAAAAF/73ro=")</f>
        <v>#VALUE!</v>
      </c>
      <c r="GF11" t="e">
        <f>AND(SpotVsReserved!E73,"AAAAAF/73rs=")</f>
        <v>#VALUE!</v>
      </c>
      <c r="GG11" t="e">
        <f>AND(SpotVsReserved!F73,"AAAAAF/73rw=")</f>
        <v>#VALUE!</v>
      </c>
      <c r="GH11" t="e">
        <f>AND(SpotVsReserved!G73,"AAAAAF/73r0=")</f>
        <v>#VALUE!</v>
      </c>
      <c r="GI11">
        <f>IF(SpotVsReserved!74:74,"AAAAAF/73r4=",0)</f>
        <v>0</v>
      </c>
      <c r="GJ11" t="e">
        <f>AND(SpotVsReserved!A74,"AAAAAF/73r8=")</f>
        <v>#VALUE!</v>
      </c>
      <c r="GK11" t="e">
        <f>AND(SpotVsReserved!B74,"AAAAAF/73sA=")</f>
        <v>#VALUE!</v>
      </c>
      <c r="GL11" t="e">
        <f>AND(SpotVsReserved!C74,"AAAAAF/73sE=")</f>
        <v>#VALUE!</v>
      </c>
      <c r="GM11" t="e">
        <f>AND(SpotVsReserved!D74,"AAAAAF/73sI=")</f>
        <v>#VALUE!</v>
      </c>
      <c r="GN11" t="e">
        <f>AND(SpotVsReserved!E74,"AAAAAF/73sM=")</f>
        <v>#VALUE!</v>
      </c>
      <c r="GO11" t="e">
        <f>AND(SpotVsReserved!F74,"AAAAAF/73sQ=")</f>
        <v>#VALUE!</v>
      </c>
      <c r="GP11" t="e">
        <f>AND(SpotVsReserved!G74,"AAAAAF/73sU=")</f>
        <v>#VALUE!</v>
      </c>
      <c r="GQ11">
        <f>IF(SpotVsReserved!75:75,"AAAAAF/73sY=",0)</f>
        <v>0</v>
      </c>
      <c r="GR11" t="e">
        <f>AND(SpotVsReserved!A75,"AAAAAF/73sc=")</f>
        <v>#VALUE!</v>
      </c>
      <c r="GS11" t="e">
        <f>AND(SpotVsReserved!B75,"AAAAAF/73sg=")</f>
        <v>#VALUE!</v>
      </c>
      <c r="GT11" t="e">
        <f>AND(SpotVsReserved!C75,"AAAAAF/73sk=")</f>
        <v>#VALUE!</v>
      </c>
      <c r="GU11" t="e">
        <f>AND(SpotVsReserved!D75,"AAAAAF/73so=")</f>
        <v>#VALUE!</v>
      </c>
      <c r="GV11" t="e">
        <f>AND(SpotVsReserved!E75,"AAAAAF/73ss=")</f>
        <v>#VALUE!</v>
      </c>
      <c r="GW11" t="e">
        <f>AND(SpotVsReserved!F75,"AAAAAF/73sw=")</f>
        <v>#VALUE!</v>
      </c>
      <c r="GX11" t="e">
        <f>AND(SpotVsReserved!G75,"AAAAAF/73s0=")</f>
        <v>#VALUE!</v>
      </c>
      <c r="GY11">
        <f>IF(SpotVsReserved!76:76,"AAAAAF/73s4=",0)</f>
        <v>0</v>
      </c>
      <c r="GZ11" t="e">
        <f>AND(SpotVsReserved!A76,"AAAAAF/73s8=")</f>
        <v>#VALUE!</v>
      </c>
      <c r="HA11" t="e">
        <f>AND(SpotVsReserved!B76,"AAAAAF/73tA=")</f>
        <v>#VALUE!</v>
      </c>
      <c r="HB11" t="e">
        <f>AND(SpotVsReserved!C76,"AAAAAF/73tE=")</f>
        <v>#VALUE!</v>
      </c>
      <c r="HC11" t="e">
        <f>AND(SpotVsReserved!D76,"AAAAAF/73tI=")</f>
        <v>#VALUE!</v>
      </c>
      <c r="HD11" t="e">
        <f>AND(SpotVsReserved!E76,"AAAAAF/73tM=")</f>
        <v>#VALUE!</v>
      </c>
      <c r="HE11" t="e">
        <f>AND(SpotVsReserved!F76,"AAAAAF/73tQ=")</f>
        <v>#VALUE!</v>
      </c>
      <c r="HF11" t="e">
        <f>AND(SpotVsReserved!G76,"AAAAAF/73tU=")</f>
        <v>#VALUE!</v>
      </c>
      <c r="HG11">
        <f>IF(SpotVsReserved!77:77,"AAAAAF/73tY=",0)</f>
        <v>0</v>
      </c>
      <c r="HH11" t="e">
        <f>AND(SpotVsReserved!A77,"AAAAAF/73tc=")</f>
        <v>#VALUE!</v>
      </c>
      <c r="HI11" t="e">
        <f>AND(SpotVsReserved!B77,"AAAAAF/73tg=")</f>
        <v>#VALUE!</v>
      </c>
      <c r="HJ11" t="e">
        <f>AND(SpotVsReserved!C77,"AAAAAF/73tk=")</f>
        <v>#VALUE!</v>
      </c>
      <c r="HK11" t="e">
        <f>AND(SpotVsReserved!D77,"AAAAAF/73to=")</f>
        <v>#VALUE!</v>
      </c>
      <c r="HL11" t="e">
        <f>AND(SpotVsReserved!E77,"AAAAAF/73ts=")</f>
        <v>#VALUE!</v>
      </c>
      <c r="HM11" t="e">
        <f>AND(SpotVsReserved!F77,"AAAAAF/73tw=")</f>
        <v>#VALUE!</v>
      </c>
      <c r="HN11" t="e">
        <f>AND(SpotVsReserved!G77,"AAAAAF/73t0=")</f>
        <v>#VALUE!</v>
      </c>
      <c r="HO11">
        <f>IF(SpotVsReserved!78:78,"AAAAAF/73t4=",0)</f>
        <v>0</v>
      </c>
      <c r="HP11" t="e">
        <f>AND(SpotVsReserved!A78,"AAAAAF/73t8=")</f>
        <v>#VALUE!</v>
      </c>
      <c r="HQ11" t="e">
        <f>AND(SpotVsReserved!B78,"AAAAAF/73uA=")</f>
        <v>#VALUE!</v>
      </c>
      <c r="HR11" t="e">
        <f>AND(SpotVsReserved!C78,"AAAAAF/73uE=")</f>
        <v>#VALUE!</v>
      </c>
      <c r="HS11" t="e">
        <f>AND(SpotVsReserved!D78,"AAAAAF/73uI=")</f>
        <v>#VALUE!</v>
      </c>
      <c r="HT11" t="e">
        <f>AND(SpotVsReserved!E78,"AAAAAF/73uM=")</f>
        <v>#VALUE!</v>
      </c>
      <c r="HU11" t="e">
        <f>AND(SpotVsReserved!F78,"AAAAAF/73uQ=")</f>
        <v>#VALUE!</v>
      </c>
      <c r="HV11" t="e">
        <f>AND(SpotVsReserved!G78,"AAAAAF/73uU=")</f>
        <v>#VALUE!</v>
      </c>
      <c r="HW11">
        <f>IF(SpotVsReserved!79:79,"AAAAAF/73uY=",0)</f>
        <v>0</v>
      </c>
      <c r="HX11" t="e">
        <f>AND(SpotVsReserved!A79,"AAAAAF/73uc=")</f>
        <v>#VALUE!</v>
      </c>
      <c r="HY11" t="e">
        <f>AND(SpotVsReserved!B79,"AAAAAF/73ug=")</f>
        <v>#VALUE!</v>
      </c>
      <c r="HZ11" t="e">
        <f>AND(SpotVsReserved!C79,"AAAAAF/73uk=")</f>
        <v>#VALUE!</v>
      </c>
      <c r="IA11" t="e">
        <f>AND(SpotVsReserved!D79,"AAAAAF/73uo=")</f>
        <v>#VALUE!</v>
      </c>
      <c r="IB11" t="e">
        <f>AND(SpotVsReserved!E79,"AAAAAF/73us=")</f>
        <v>#VALUE!</v>
      </c>
      <c r="IC11" t="e">
        <f>AND(SpotVsReserved!F79,"AAAAAF/73uw=")</f>
        <v>#VALUE!</v>
      </c>
      <c r="ID11" t="e">
        <f>AND(SpotVsReserved!G79,"AAAAAF/73u0=")</f>
        <v>#VALUE!</v>
      </c>
      <c r="IE11">
        <f>IF(SpotVsReserved!80:80,"AAAAAF/73u4=",0)</f>
        <v>0</v>
      </c>
      <c r="IF11" t="e">
        <f>AND(SpotVsReserved!A80,"AAAAAF/73u8=")</f>
        <v>#VALUE!</v>
      </c>
      <c r="IG11" t="e">
        <f>AND(SpotVsReserved!B80,"AAAAAF/73vA=")</f>
        <v>#VALUE!</v>
      </c>
      <c r="IH11" t="e">
        <f>AND(SpotVsReserved!C80,"AAAAAF/73vE=")</f>
        <v>#VALUE!</v>
      </c>
      <c r="II11" t="e">
        <f>AND(SpotVsReserved!D80,"AAAAAF/73vI=")</f>
        <v>#VALUE!</v>
      </c>
      <c r="IJ11" t="e">
        <f>AND(SpotVsReserved!E80,"AAAAAF/73vM=")</f>
        <v>#VALUE!</v>
      </c>
      <c r="IK11" t="e">
        <f>AND(SpotVsReserved!F80,"AAAAAF/73vQ=")</f>
        <v>#VALUE!</v>
      </c>
      <c r="IL11" t="e">
        <f>AND(SpotVsReserved!G80,"AAAAAF/73vU=")</f>
        <v>#VALUE!</v>
      </c>
      <c r="IM11">
        <f>IF(SpotVsReserved!81:81,"AAAAAF/73vY=",0)</f>
        <v>0</v>
      </c>
      <c r="IN11" t="e">
        <f>AND(SpotVsReserved!A81,"AAAAAF/73vc=")</f>
        <v>#VALUE!</v>
      </c>
      <c r="IO11" t="e">
        <f>AND(SpotVsReserved!B81,"AAAAAF/73vg=")</f>
        <v>#VALUE!</v>
      </c>
      <c r="IP11" t="e">
        <f>AND(SpotVsReserved!C81,"AAAAAF/73vk=")</f>
        <v>#VALUE!</v>
      </c>
      <c r="IQ11" t="e">
        <f>AND(SpotVsReserved!D81,"AAAAAF/73vo=")</f>
        <v>#VALUE!</v>
      </c>
      <c r="IR11" t="e">
        <f>AND(SpotVsReserved!E81,"AAAAAF/73vs=")</f>
        <v>#VALUE!</v>
      </c>
      <c r="IS11" t="e">
        <f>AND(SpotVsReserved!F81,"AAAAAF/73vw=")</f>
        <v>#VALUE!</v>
      </c>
      <c r="IT11" t="e">
        <f>AND(SpotVsReserved!G81,"AAAAAF/73v0=")</f>
        <v>#VALUE!</v>
      </c>
      <c r="IU11">
        <f>IF(SpotVsReserved!82:82,"AAAAAF/73v4=",0)</f>
        <v>0</v>
      </c>
      <c r="IV11" t="e">
        <f>AND(SpotVsReserved!A82,"AAAAAF/73v8=")</f>
        <v>#VALUE!</v>
      </c>
    </row>
    <row r="12" spans="1:256" x14ac:dyDescent="0.25">
      <c r="A12" t="e">
        <f>AND(SpotVsReserved!B82,"AAAAAD34zgA=")</f>
        <v>#VALUE!</v>
      </c>
      <c r="B12" t="e">
        <f>AND(SpotVsReserved!C82,"AAAAAD34zgE=")</f>
        <v>#VALUE!</v>
      </c>
      <c r="C12" t="e">
        <f>AND(SpotVsReserved!D82,"AAAAAD34zgI=")</f>
        <v>#VALUE!</v>
      </c>
      <c r="D12" t="e">
        <f>AND(SpotVsReserved!E82,"AAAAAD34zgM=")</f>
        <v>#VALUE!</v>
      </c>
      <c r="E12" t="e">
        <f>AND(SpotVsReserved!F82,"AAAAAD34zgQ=")</f>
        <v>#VALUE!</v>
      </c>
      <c r="F12" t="e">
        <f>AND(SpotVsReserved!G82,"AAAAAD34zgU=")</f>
        <v>#VALUE!</v>
      </c>
      <c r="G12" t="str">
        <f>IF(SpotVsReserved!83:83,"AAAAAD34zgY=",0)</f>
        <v>AAAAAD34zgY=</v>
      </c>
      <c r="H12" t="e">
        <f>AND(SpotVsReserved!A83,"AAAAAD34zgc=")</f>
        <v>#VALUE!</v>
      </c>
      <c r="I12" t="e">
        <f>AND(SpotVsReserved!B83,"AAAAAD34zgg=")</f>
        <v>#VALUE!</v>
      </c>
      <c r="J12" t="e">
        <f>AND(SpotVsReserved!C83,"AAAAAD34zgk=")</f>
        <v>#VALUE!</v>
      </c>
      <c r="K12" t="e">
        <f>AND(SpotVsReserved!D83,"AAAAAD34zgo=")</f>
        <v>#VALUE!</v>
      </c>
      <c r="L12" t="e">
        <f>AND(SpotVsReserved!E83,"AAAAAD34zgs=")</f>
        <v>#VALUE!</v>
      </c>
      <c r="M12" t="e">
        <f>AND(SpotVsReserved!F83,"AAAAAD34zgw=")</f>
        <v>#VALUE!</v>
      </c>
      <c r="N12" t="e">
        <f>AND(SpotVsReserved!G83,"AAAAAD34zg0=")</f>
        <v>#VALUE!</v>
      </c>
      <c r="O12">
        <f>IF(SpotVsReserved!84:84,"AAAAAD34zg4=",0)</f>
        <v>0</v>
      </c>
      <c r="P12" t="e">
        <f>AND(SpotVsReserved!A84,"AAAAAD34zg8=")</f>
        <v>#VALUE!</v>
      </c>
      <c r="Q12" t="e">
        <f>AND(SpotVsReserved!B84,"AAAAAD34zhA=")</f>
        <v>#VALUE!</v>
      </c>
      <c r="R12" t="e">
        <f>AND(SpotVsReserved!C84,"AAAAAD34zhE=")</f>
        <v>#VALUE!</v>
      </c>
      <c r="S12" t="e">
        <f>AND(SpotVsReserved!D84,"AAAAAD34zhI=")</f>
        <v>#VALUE!</v>
      </c>
      <c r="T12" t="e">
        <f>AND(SpotVsReserved!E84,"AAAAAD34zhM=")</f>
        <v>#VALUE!</v>
      </c>
      <c r="U12" t="e">
        <f>AND(SpotVsReserved!F84,"AAAAAD34zhQ=")</f>
        <v>#VALUE!</v>
      </c>
      <c r="V12" t="e">
        <f>AND(SpotVsReserved!G84,"AAAAAD34zhU=")</f>
        <v>#VALUE!</v>
      </c>
      <c r="W12">
        <f>IF(SpotVsReserved!85:85,"AAAAAD34zhY=",0)</f>
        <v>0</v>
      </c>
      <c r="X12" t="e">
        <f>AND(SpotVsReserved!A85,"AAAAAD34zhc=")</f>
        <v>#VALUE!</v>
      </c>
      <c r="Y12" t="e">
        <f>AND(SpotVsReserved!B85,"AAAAAD34zhg=")</f>
        <v>#VALUE!</v>
      </c>
      <c r="Z12" t="e">
        <f>AND(SpotVsReserved!C85,"AAAAAD34zhk=")</f>
        <v>#VALUE!</v>
      </c>
      <c r="AA12" t="e">
        <f>AND(SpotVsReserved!D85,"AAAAAD34zho=")</f>
        <v>#VALUE!</v>
      </c>
      <c r="AB12" t="e">
        <f>AND(SpotVsReserved!E85,"AAAAAD34zhs=")</f>
        <v>#VALUE!</v>
      </c>
      <c r="AC12" t="e">
        <f>AND(SpotVsReserved!F85,"AAAAAD34zhw=")</f>
        <v>#VALUE!</v>
      </c>
      <c r="AD12" t="e">
        <f>AND(SpotVsReserved!G85,"AAAAAD34zh0=")</f>
        <v>#VALUE!</v>
      </c>
      <c r="AE12">
        <f>IF(SpotVsReserved!86:86,"AAAAAD34zh4=",0)</f>
        <v>0</v>
      </c>
      <c r="AF12" t="e">
        <f>AND(SpotVsReserved!A86,"AAAAAD34zh8=")</f>
        <v>#VALUE!</v>
      </c>
      <c r="AG12" t="e">
        <f>AND(SpotVsReserved!B86,"AAAAAD34ziA=")</f>
        <v>#VALUE!</v>
      </c>
      <c r="AH12" t="e">
        <f>AND(SpotVsReserved!C86,"AAAAAD34ziE=")</f>
        <v>#VALUE!</v>
      </c>
      <c r="AI12" t="e">
        <f>AND(SpotVsReserved!D86,"AAAAAD34ziI=")</f>
        <v>#VALUE!</v>
      </c>
      <c r="AJ12" t="e">
        <f>AND(SpotVsReserved!E86,"AAAAAD34ziM=")</f>
        <v>#VALUE!</v>
      </c>
      <c r="AK12" t="e">
        <f>AND(SpotVsReserved!F86,"AAAAAD34ziQ=")</f>
        <v>#VALUE!</v>
      </c>
      <c r="AL12" t="e">
        <f>AND(SpotVsReserved!G86,"AAAAAD34ziU=")</f>
        <v>#VALUE!</v>
      </c>
      <c r="AM12">
        <f>IF(SpotVsReserved!87:87,"AAAAAD34ziY=",0)</f>
        <v>0</v>
      </c>
      <c r="AN12" t="e">
        <f>AND(SpotVsReserved!A87,"AAAAAD34zic=")</f>
        <v>#VALUE!</v>
      </c>
      <c r="AO12" t="e">
        <f>AND(SpotVsReserved!B87,"AAAAAD34zig=")</f>
        <v>#VALUE!</v>
      </c>
      <c r="AP12" t="e">
        <f>AND(SpotVsReserved!C87,"AAAAAD34zik=")</f>
        <v>#VALUE!</v>
      </c>
      <c r="AQ12" t="e">
        <f>AND(SpotVsReserved!D87,"AAAAAD34zio=")</f>
        <v>#VALUE!</v>
      </c>
      <c r="AR12" t="e">
        <f>AND(SpotVsReserved!E87,"AAAAAD34zis=")</f>
        <v>#VALUE!</v>
      </c>
      <c r="AS12" t="e">
        <f>AND(SpotVsReserved!F87,"AAAAAD34ziw=")</f>
        <v>#VALUE!</v>
      </c>
      <c r="AT12" t="e">
        <f>AND(SpotVsReserved!G87,"AAAAAD34zi0=")</f>
        <v>#VALUE!</v>
      </c>
      <c r="AU12">
        <f>IF(SpotVsReserved!88:88,"AAAAAD34zi4=",0)</f>
        <v>0</v>
      </c>
      <c r="AV12" t="e">
        <f>AND(SpotVsReserved!A88,"AAAAAD34zi8=")</f>
        <v>#VALUE!</v>
      </c>
      <c r="AW12" t="e">
        <f>AND(SpotVsReserved!B88,"AAAAAD34zjA=")</f>
        <v>#VALUE!</v>
      </c>
      <c r="AX12" t="e">
        <f>AND(SpotVsReserved!C88,"AAAAAD34zjE=")</f>
        <v>#VALUE!</v>
      </c>
      <c r="AY12" t="e">
        <f>AND(SpotVsReserved!D88,"AAAAAD34zjI=")</f>
        <v>#VALUE!</v>
      </c>
      <c r="AZ12" t="e">
        <f>AND(SpotVsReserved!E88,"AAAAAD34zjM=")</f>
        <v>#VALUE!</v>
      </c>
      <c r="BA12" t="e">
        <f>AND(SpotVsReserved!F88,"AAAAAD34zjQ=")</f>
        <v>#VALUE!</v>
      </c>
      <c r="BB12" t="e">
        <f>AND(SpotVsReserved!G88,"AAAAAD34zjU=")</f>
        <v>#VALUE!</v>
      </c>
      <c r="BC12">
        <f>IF(SpotVsReserved!89:89,"AAAAAD34zjY=",0)</f>
        <v>0</v>
      </c>
      <c r="BD12" t="e">
        <f>AND(SpotVsReserved!A89,"AAAAAD34zjc=")</f>
        <v>#VALUE!</v>
      </c>
      <c r="BE12" t="e">
        <f>AND(SpotVsReserved!B89,"AAAAAD34zjg=")</f>
        <v>#VALUE!</v>
      </c>
      <c r="BF12" t="e">
        <f>AND(SpotVsReserved!C89,"AAAAAD34zjk=")</f>
        <v>#VALUE!</v>
      </c>
      <c r="BG12" t="e">
        <f>AND(SpotVsReserved!D89,"AAAAAD34zjo=")</f>
        <v>#VALUE!</v>
      </c>
      <c r="BH12" t="e">
        <f>AND(SpotVsReserved!E89,"AAAAAD34zjs=")</f>
        <v>#VALUE!</v>
      </c>
      <c r="BI12" t="e">
        <f>AND(SpotVsReserved!F89,"AAAAAD34zjw=")</f>
        <v>#VALUE!</v>
      </c>
      <c r="BJ12" t="e">
        <f>AND(SpotVsReserved!G89,"AAAAAD34zj0=")</f>
        <v>#VALUE!</v>
      </c>
      <c r="BK12">
        <f>IF(SpotVsReserved!90:90,"AAAAAD34zj4=",0)</f>
        <v>0</v>
      </c>
      <c r="BL12" t="e">
        <f>AND(SpotVsReserved!A90,"AAAAAD34zj8=")</f>
        <v>#VALUE!</v>
      </c>
      <c r="BM12" t="e">
        <f>AND(SpotVsReserved!B90,"AAAAAD34zkA=")</f>
        <v>#VALUE!</v>
      </c>
      <c r="BN12" t="e">
        <f>AND(SpotVsReserved!C90,"AAAAAD34zkE=")</f>
        <v>#VALUE!</v>
      </c>
      <c r="BO12" t="e">
        <f>AND(SpotVsReserved!D90,"AAAAAD34zkI=")</f>
        <v>#VALUE!</v>
      </c>
      <c r="BP12" t="e">
        <f>AND(SpotVsReserved!E90,"AAAAAD34zkM=")</f>
        <v>#VALUE!</v>
      </c>
      <c r="BQ12" t="e">
        <f>AND(SpotVsReserved!F90,"AAAAAD34zkQ=")</f>
        <v>#VALUE!</v>
      </c>
      <c r="BR12" t="e">
        <f>AND(SpotVsReserved!G90,"AAAAAD34zkU=")</f>
        <v>#VALUE!</v>
      </c>
      <c r="BS12">
        <f>IF(SpotVsReserved!91:91,"AAAAAD34zkY=",0)</f>
        <v>0</v>
      </c>
      <c r="BT12" t="e">
        <f>AND(SpotVsReserved!A91,"AAAAAD34zkc=")</f>
        <v>#VALUE!</v>
      </c>
      <c r="BU12" t="e">
        <f>AND(SpotVsReserved!B91,"AAAAAD34zkg=")</f>
        <v>#VALUE!</v>
      </c>
      <c r="BV12" t="e">
        <f>AND(SpotVsReserved!C91,"AAAAAD34zkk=")</f>
        <v>#VALUE!</v>
      </c>
      <c r="BW12" t="e">
        <f>AND(SpotVsReserved!D91,"AAAAAD34zko=")</f>
        <v>#VALUE!</v>
      </c>
      <c r="BX12" t="e">
        <f>AND(SpotVsReserved!E91,"AAAAAD34zks=")</f>
        <v>#VALUE!</v>
      </c>
      <c r="BY12" t="e">
        <f>AND(SpotVsReserved!F91,"AAAAAD34zkw=")</f>
        <v>#VALUE!</v>
      </c>
      <c r="BZ12" t="e">
        <f>AND(SpotVsReserved!G91,"AAAAAD34zk0=")</f>
        <v>#VALUE!</v>
      </c>
      <c r="CA12">
        <f>IF(SpotVsReserved!92:92,"AAAAAD34zk4=",0)</f>
        <v>0</v>
      </c>
      <c r="CB12" t="e">
        <f>AND(SpotVsReserved!A92,"AAAAAD34zk8=")</f>
        <v>#VALUE!</v>
      </c>
      <c r="CC12" t="e">
        <f>AND(SpotVsReserved!B92,"AAAAAD34zlA=")</f>
        <v>#VALUE!</v>
      </c>
      <c r="CD12" t="e">
        <f>AND(SpotVsReserved!C92,"AAAAAD34zlE=")</f>
        <v>#VALUE!</v>
      </c>
      <c r="CE12" t="e">
        <f>AND(SpotVsReserved!D92,"AAAAAD34zlI=")</f>
        <v>#VALUE!</v>
      </c>
      <c r="CF12" t="e">
        <f>AND(SpotVsReserved!E92,"AAAAAD34zlM=")</f>
        <v>#VALUE!</v>
      </c>
      <c r="CG12" t="e">
        <f>AND(SpotVsReserved!F92,"AAAAAD34zlQ=")</f>
        <v>#VALUE!</v>
      </c>
      <c r="CH12" t="e">
        <f>AND(SpotVsReserved!G92,"AAAAAD34zlU=")</f>
        <v>#VALUE!</v>
      </c>
      <c r="CI12">
        <f>IF(SpotVsReserved!93:93,"AAAAAD34zlY=",0)</f>
        <v>0</v>
      </c>
      <c r="CJ12" t="e">
        <f>AND(SpotVsReserved!A93,"AAAAAD34zlc=")</f>
        <v>#VALUE!</v>
      </c>
      <c r="CK12" t="e">
        <f>AND(SpotVsReserved!B93,"AAAAAD34zlg=")</f>
        <v>#VALUE!</v>
      </c>
      <c r="CL12" t="e">
        <f>AND(SpotVsReserved!C93,"AAAAAD34zlk=")</f>
        <v>#VALUE!</v>
      </c>
      <c r="CM12" t="e">
        <f>AND(SpotVsReserved!D93,"AAAAAD34zlo=")</f>
        <v>#VALUE!</v>
      </c>
      <c r="CN12" t="e">
        <f>AND(SpotVsReserved!E93,"AAAAAD34zls=")</f>
        <v>#VALUE!</v>
      </c>
      <c r="CO12" t="e">
        <f>AND(SpotVsReserved!F93,"AAAAAD34zlw=")</f>
        <v>#VALUE!</v>
      </c>
      <c r="CP12" t="e">
        <f>AND(SpotVsReserved!G93,"AAAAAD34zl0=")</f>
        <v>#VALUE!</v>
      </c>
      <c r="CQ12">
        <f>IF(SpotVsReserved!94:94,"AAAAAD34zl4=",0)</f>
        <v>0</v>
      </c>
      <c r="CR12" t="e">
        <f>AND(SpotVsReserved!A94,"AAAAAD34zl8=")</f>
        <v>#VALUE!</v>
      </c>
      <c r="CS12" t="e">
        <f>AND(SpotVsReserved!B94,"AAAAAD34zmA=")</f>
        <v>#VALUE!</v>
      </c>
      <c r="CT12" t="e">
        <f>AND(SpotVsReserved!C94,"AAAAAD34zmE=")</f>
        <v>#VALUE!</v>
      </c>
      <c r="CU12" t="e">
        <f>AND(SpotVsReserved!D94,"AAAAAD34zmI=")</f>
        <v>#VALUE!</v>
      </c>
      <c r="CV12" t="e">
        <f>AND(SpotVsReserved!E94,"AAAAAD34zmM=")</f>
        <v>#VALUE!</v>
      </c>
      <c r="CW12" t="e">
        <f>AND(SpotVsReserved!F94,"AAAAAD34zmQ=")</f>
        <v>#VALUE!</v>
      </c>
      <c r="CX12" t="e">
        <f>AND(SpotVsReserved!G94,"AAAAAD34zmU=")</f>
        <v>#VALUE!</v>
      </c>
      <c r="CY12">
        <f>IF(SpotVsReserved!95:95,"AAAAAD34zmY=",0)</f>
        <v>0</v>
      </c>
      <c r="CZ12" t="e">
        <f>AND(SpotVsReserved!A95,"AAAAAD34zmc=")</f>
        <v>#VALUE!</v>
      </c>
      <c r="DA12" t="e">
        <f>AND(SpotVsReserved!B95,"AAAAAD34zmg=")</f>
        <v>#VALUE!</v>
      </c>
      <c r="DB12" t="e">
        <f>AND(SpotVsReserved!C95,"AAAAAD34zmk=")</f>
        <v>#VALUE!</v>
      </c>
      <c r="DC12" t="e">
        <f>AND(SpotVsReserved!D95,"AAAAAD34zmo=")</f>
        <v>#VALUE!</v>
      </c>
      <c r="DD12" t="e">
        <f>AND(SpotVsReserved!E95,"AAAAAD34zms=")</f>
        <v>#VALUE!</v>
      </c>
      <c r="DE12" t="e">
        <f>AND(SpotVsReserved!F95,"AAAAAD34zmw=")</f>
        <v>#VALUE!</v>
      </c>
      <c r="DF12" t="e">
        <f>AND(SpotVsReserved!G95,"AAAAAD34zm0=")</f>
        <v>#VALUE!</v>
      </c>
      <c r="DG12">
        <f>IF(SpotVsReserved!96:96,"AAAAAD34zm4=",0)</f>
        <v>0</v>
      </c>
      <c r="DH12" t="e">
        <f>AND(SpotVsReserved!A96,"AAAAAD34zm8=")</f>
        <v>#VALUE!</v>
      </c>
      <c r="DI12" t="e">
        <f>AND(SpotVsReserved!B96,"AAAAAD34znA=")</f>
        <v>#VALUE!</v>
      </c>
      <c r="DJ12" t="e">
        <f>AND(SpotVsReserved!C96,"AAAAAD34znE=")</f>
        <v>#VALUE!</v>
      </c>
      <c r="DK12" t="e">
        <f>AND(SpotVsReserved!D96,"AAAAAD34znI=")</f>
        <v>#VALUE!</v>
      </c>
      <c r="DL12" t="e">
        <f>AND(SpotVsReserved!E96,"AAAAAD34znM=")</f>
        <v>#VALUE!</v>
      </c>
      <c r="DM12" t="e">
        <f>AND(SpotVsReserved!F96,"AAAAAD34znQ=")</f>
        <v>#VALUE!</v>
      </c>
      <c r="DN12" t="e">
        <f>AND(SpotVsReserved!G96,"AAAAAD34znU=")</f>
        <v>#VALUE!</v>
      </c>
      <c r="DO12">
        <f>IF(SpotVsReserved!97:97,"AAAAAD34znY=",0)</f>
        <v>0</v>
      </c>
      <c r="DP12" t="e">
        <f>AND(SpotVsReserved!A97,"AAAAAD34znc=")</f>
        <v>#VALUE!</v>
      </c>
      <c r="DQ12" t="e">
        <f>AND(SpotVsReserved!B97,"AAAAAD34zng=")</f>
        <v>#VALUE!</v>
      </c>
      <c r="DR12" t="e">
        <f>AND(SpotVsReserved!C97,"AAAAAD34znk=")</f>
        <v>#VALUE!</v>
      </c>
      <c r="DS12" t="e">
        <f>AND(SpotVsReserved!D97,"AAAAAD34zno=")</f>
        <v>#VALUE!</v>
      </c>
      <c r="DT12" t="e">
        <f>AND(SpotVsReserved!E97,"AAAAAD34zns=")</f>
        <v>#VALUE!</v>
      </c>
      <c r="DU12" t="e">
        <f>AND(SpotVsReserved!F97,"AAAAAD34znw=")</f>
        <v>#VALUE!</v>
      </c>
      <c r="DV12" t="e">
        <f>AND(SpotVsReserved!G97,"AAAAAD34zn0=")</f>
        <v>#VALUE!</v>
      </c>
      <c r="DW12">
        <f>IF(SpotVsReserved!98:98,"AAAAAD34zn4=",0)</f>
        <v>0</v>
      </c>
      <c r="DX12" t="e">
        <f>AND(SpotVsReserved!A98,"AAAAAD34zn8=")</f>
        <v>#VALUE!</v>
      </c>
      <c r="DY12" t="e">
        <f>AND(SpotVsReserved!B98,"AAAAAD34zoA=")</f>
        <v>#VALUE!</v>
      </c>
      <c r="DZ12" t="e">
        <f>AND(SpotVsReserved!C98,"AAAAAD34zoE=")</f>
        <v>#VALUE!</v>
      </c>
      <c r="EA12" t="e">
        <f>AND(SpotVsReserved!D98,"AAAAAD34zoI=")</f>
        <v>#VALUE!</v>
      </c>
      <c r="EB12" t="e">
        <f>AND(SpotVsReserved!E98,"AAAAAD34zoM=")</f>
        <v>#VALUE!</v>
      </c>
      <c r="EC12" t="e">
        <f>AND(SpotVsReserved!F98,"AAAAAD34zoQ=")</f>
        <v>#VALUE!</v>
      </c>
      <c r="ED12" t="e">
        <f>AND(SpotVsReserved!G98,"AAAAAD34zoU=")</f>
        <v>#VALUE!</v>
      </c>
      <c r="EE12">
        <f>IF(SpotVsReserved!99:99,"AAAAAD34zoY=",0)</f>
        <v>0</v>
      </c>
      <c r="EF12" t="e">
        <f>AND(SpotVsReserved!A99,"AAAAAD34zoc=")</f>
        <v>#VALUE!</v>
      </c>
      <c r="EG12" t="e">
        <f>AND(SpotVsReserved!B99,"AAAAAD34zog=")</f>
        <v>#VALUE!</v>
      </c>
      <c r="EH12" t="e">
        <f>AND(SpotVsReserved!C99,"AAAAAD34zok=")</f>
        <v>#VALUE!</v>
      </c>
      <c r="EI12" t="e">
        <f>AND(SpotVsReserved!D99,"AAAAAD34zoo=")</f>
        <v>#VALUE!</v>
      </c>
      <c r="EJ12" t="e">
        <f>AND(SpotVsReserved!E99,"AAAAAD34zos=")</f>
        <v>#VALUE!</v>
      </c>
      <c r="EK12" t="e">
        <f>AND(SpotVsReserved!F99,"AAAAAD34zow=")</f>
        <v>#VALUE!</v>
      </c>
      <c r="EL12" t="e">
        <f>AND(SpotVsReserved!G99,"AAAAAD34zo0=")</f>
        <v>#VALUE!</v>
      </c>
      <c r="EM12">
        <f>IF(SpotVsReserved!100:100,"AAAAAD34zo4=",0)</f>
        <v>0</v>
      </c>
      <c r="EN12" t="e">
        <f>AND(SpotVsReserved!A100,"AAAAAD34zo8=")</f>
        <v>#VALUE!</v>
      </c>
      <c r="EO12" t="e">
        <f>AND(SpotVsReserved!B100,"AAAAAD34zpA=")</f>
        <v>#VALUE!</v>
      </c>
      <c r="EP12" t="e">
        <f>AND(SpotVsReserved!C100,"AAAAAD34zpE=")</f>
        <v>#VALUE!</v>
      </c>
      <c r="EQ12" t="e">
        <f>AND(SpotVsReserved!D100,"AAAAAD34zpI=")</f>
        <v>#VALUE!</v>
      </c>
      <c r="ER12" t="e">
        <f>AND(SpotVsReserved!E100,"AAAAAD34zpM=")</f>
        <v>#VALUE!</v>
      </c>
      <c r="ES12" t="e">
        <f>AND(SpotVsReserved!F100,"AAAAAD34zpQ=")</f>
        <v>#VALUE!</v>
      </c>
      <c r="ET12" t="e">
        <f>AND(SpotVsReserved!G100,"AAAAAD34zpU=")</f>
        <v>#VALUE!</v>
      </c>
      <c r="EU12">
        <f>IF(SpotVsReserved!101:101,"AAAAAD34zpY=",0)</f>
        <v>0</v>
      </c>
      <c r="EV12" t="e">
        <f>AND(SpotVsReserved!A101,"AAAAAD34zpc=")</f>
        <v>#VALUE!</v>
      </c>
      <c r="EW12" t="e">
        <f>AND(SpotVsReserved!B101,"AAAAAD34zpg=")</f>
        <v>#VALUE!</v>
      </c>
      <c r="EX12" t="e">
        <f>AND(SpotVsReserved!C101,"AAAAAD34zpk=")</f>
        <v>#VALUE!</v>
      </c>
      <c r="EY12" t="e">
        <f>AND(SpotVsReserved!D101,"AAAAAD34zpo=")</f>
        <v>#VALUE!</v>
      </c>
      <c r="EZ12" t="e">
        <f>AND(SpotVsReserved!E101,"AAAAAD34zps=")</f>
        <v>#VALUE!</v>
      </c>
      <c r="FA12" t="e">
        <f>AND(SpotVsReserved!F101,"AAAAAD34zpw=")</f>
        <v>#VALUE!</v>
      </c>
      <c r="FB12" t="e">
        <f>AND(SpotVsReserved!G101,"AAAAAD34zp0=")</f>
        <v>#VALUE!</v>
      </c>
      <c r="FC12">
        <f>IF(SpotVsReserved!102:102,"AAAAAD34zp4=",0)</f>
        <v>0</v>
      </c>
      <c r="FD12" t="e">
        <f>AND(SpotVsReserved!A102,"AAAAAD34zp8=")</f>
        <v>#VALUE!</v>
      </c>
      <c r="FE12" t="e">
        <f>AND(SpotVsReserved!B102,"AAAAAD34zqA=")</f>
        <v>#VALUE!</v>
      </c>
      <c r="FF12" t="e">
        <f>AND(SpotVsReserved!C102,"AAAAAD34zqE=")</f>
        <v>#VALUE!</v>
      </c>
      <c r="FG12" t="e">
        <f>AND(SpotVsReserved!D102,"AAAAAD34zqI=")</f>
        <v>#VALUE!</v>
      </c>
      <c r="FH12" t="e">
        <f>AND(SpotVsReserved!E102,"AAAAAD34zqM=")</f>
        <v>#VALUE!</v>
      </c>
      <c r="FI12" t="e">
        <f>AND(SpotVsReserved!F102,"AAAAAD34zqQ=")</f>
        <v>#VALUE!</v>
      </c>
      <c r="FJ12" t="e">
        <f>AND(SpotVsReserved!G102,"AAAAAD34zqU=")</f>
        <v>#VALUE!</v>
      </c>
      <c r="FK12">
        <f>IF(SpotVsReserved!103:103,"AAAAAD34zqY=",0)</f>
        <v>0</v>
      </c>
      <c r="FL12" t="e">
        <f>AND(SpotVsReserved!A103,"AAAAAD34zqc=")</f>
        <v>#VALUE!</v>
      </c>
      <c r="FM12" t="e">
        <f>AND(SpotVsReserved!B103,"AAAAAD34zqg=")</f>
        <v>#VALUE!</v>
      </c>
      <c r="FN12" t="e">
        <f>AND(SpotVsReserved!C103,"AAAAAD34zqk=")</f>
        <v>#VALUE!</v>
      </c>
      <c r="FO12" t="e">
        <f>AND(SpotVsReserved!D103,"AAAAAD34zqo=")</f>
        <v>#VALUE!</v>
      </c>
      <c r="FP12" t="e">
        <f>AND(SpotVsReserved!E103,"AAAAAD34zqs=")</f>
        <v>#VALUE!</v>
      </c>
      <c r="FQ12" t="e">
        <f>AND(SpotVsReserved!F103,"AAAAAD34zqw=")</f>
        <v>#VALUE!</v>
      </c>
      <c r="FR12" t="e">
        <f>AND(SpotVsReserved!G103,"AAAAAD34zq0=")</f>
        <v>#VALUE!</v>
      </c>
      <c r="FS12">
        <f>IF(SpotVsReserved!104:104,"AAAAAD34zq4=",0)</f>
        <v>0</v>
      </c>
      <c r="FT12" t="e">
        <f>AND(SpotVsReserved!A104,"AAAAAD34zq8=")</f>
        <v>#VALUE!</v>
      </c>
      <c r="FU12" t="e">
        <f>AND(SpotVsReserved!B104,"AAAAAD34zrA=")</f>
        <v>#VALUE!</v>
      </c>
      <c r="FV12" t="e">
        <f>AND(SpotVsReserved!C104,"AAAAAD34zrE=")</f>
        <v>#VALUE!</v>
      </c>
      <c r="FW12" t="e">
        <f>AND(SpotVsReserved!D104,"AAAAAD34zrI=")</f>
        <v>#VALUE!</v>
      </c>
      <c r="FX12" t="e">
        <f>AND(SpotVsReserved!E104,"AAAAAD34zrM=")</f>
        <v>#VALUE!</v>
      </c>
      <c r="FY12" t="e">
        <f>AND(SpotVsReserved!F104,"AAAAAD34zrQ=")</f>
        <v>#VALUE!</v>
      </c>
      <c r="FZ12" t="e">
        <f>AND(SpotVsReserved!G104,"AAAAAD34zrU=")</f>
        <v>#VALUE!</v>
      </c>
      <c r="GA12">
        <f>IF(SpotVsReserved!105:105,"AAAAAD34zrY=",0)</f>
        <v>0</v>
      </c>
      <c r="GB12" t="e">
        <f>AND(SpotVsReserved!A105,"AAAAAD34zrc=")</f>
        <v>#VALUE!</v>
      </c>
      <c r="GC12" t="e">
        <f>AND(SpotVsReserved!B105,"AAAAAD34zrg=")</f>
        <v>#VALUE!</v>
      </c>
      <c r="GD12" t="e">
        <f>AND(SpotVsReserved!C105,"AAAAAD34zrk=")</f>
        <v>#VALUE!</v>
      </c>
      <c r="GE12" t="e">
        <f>AND(SpotVsReserved!D105,"AAAAAD34zro=")</f>
        <v>#VALUE!</v>
      </c>
      <c r="GF12" t="e">
        <f>AND(SpotVsReserved!E105,"AAAAAD34zrs=")</f>
        <v>#VALUE!</v>
      </c>
      <c r="GG12" t="e">
        <f>AND(SpotVsReserved!F105,"AAAAAD34zrw=")</f>
        <v>#VALUE!</v>
      </c>
      <c r="GH12" t="e">
        <f>AND(SpotVsReserved!G105,"AAAAAD34zr0=")</f>
        <v>#VALUE!</v>
      </c>
      <c r="GI12">
        <f>IF(SpotVsReserved!106:106,"AAAAAD34zr4=",0)</f>
        <v>0</v>
      </c>
      <c r="GJ12" t="e">
        <f>AND(SpotVsReserved!A106,"AAAAAD34zr8=")</f>
        <v>#VALUE!</v>
      </c>
      <c r="GK12" t="e">
        <f>AND(SpotVsReserved!B106,"AAAAAD34zsA=")</f>
        <v>#VALUE!</v>
      </c>
      <c r="GL12" t="e">
        <f>AND(SpotVsReserved!C106,"AAAAAD34zsE=")</f>
        <v>#VALUE!</v>
      </c>
      <c r="GM12" t="e">
        <f>AND(SpotVsReserved!D106,"AAAAAD34zsI=")</f>
        <v>#VALUE!</v>
      </c>
      <c r="GN12" t="e">
        <f>AND(SpotVsReserved!E106,"AAAAAD34zsM=")</f>
        <v>#VALUE!</v>
      </c>
      <c r="GO12" t="e">
        <f>AND(SpotVsReserved!F106,"AAAAAD34zsQ=")</f>
        <v>#VALUE!</v>
      </c>
      <c r="GP12" t="e">
        <f>AND(SpotVsReserved!G106,"AAAAAD34zsU=")</f>
        <v>#VALUE!</v>
      </c>
      <c r="GQ12">
        <f>IF(SpotVsReserved!107:107,"AAAAAD34zsY=",0)</f>
        <v>0</v>
      </c>
      <c r="GR12" t="e">
        <f>AND(SpotVsReserved!A107,"AAAAAD34zsc=")</f>
        <v>#VALUE!</v>
      </c>
      <c r="GS12" t="e">
        <f>AND(SpotVsReserved!B107,"AAAAAD34zsg=")</f>
        <v>#VALUE!</v>
      </c>
      <c r="GT12" t="e">
        <f>AND(SpotVsReserved!C107,"AAAAAD34zsk=")</f>
        <v>#VALUE!</v>
      </c>
      <c r="GU12" t="e">
        <f>AND(SpotVsReserved!D107,"AAAAAD34zso=")</f>
        <v>#VALUE!</v>
      </c>
      <c r="GV12" t="e">
        <f>AND(SpotVsReserved!E107,"AAAAAD34zss=")</f>
        <v>#VALUE!</v>
      </c>
      <c r="GW12" t="e">
        <f>AND(SpotVsReserved!F107,"AAAAAD34zsw=")</f>
        <v>#VALUE!</v>
      </c>
      <c r="GX12" t="e">
        <f>AND(SpotVsReserved!G107,"AAAAAD34zs0=")</f>
        <v>#VALUE!</v>
      </c>
      <c r="GY12">
        <f>IF(SpotVsReserved!108:108,"AAAAAD34zs4=",0)</f>
        <v>0</v>
      </c>
      <c r="GZ12" t="e">
        <f>AND(SpotVsReserved!A108,"AAAAAD34zs8=")</f>
        <v>#VALUE!</v>
      </c>
      <c r="HA12" t="e">
        <f>AND(SpotVsReserved!B108,"AAAAAD34ztA=")</f>
        <v>#VALUE!</v>
      </c>
      <c r="HB12" t="e">
        <f>AND(SpotVsReserved!C108,"AAAAAD34ztE=")</f>
        <v>#VALUE!</v>
      </c>
      <c r="HC12" t="e">
        <f>AND(SpotVsReserved!D108,"AAAAAD34ztI=")</f>
        <v>#VALUE!</v>
      </c>
      <c r="HD12" t="e">
        <f>AND(SpotVsReserved!E108,"AAAAAD34ztM=")</f>
        <v>#VALUE!</v>
      </c>
      <c r="HE12" t="e">
        <f>AND(SpotVsReserved!F108,"AAAAAD34ztQ=")</f>
        <v>#VALUE!</v>
      </c>
      <c r="HF12" t="e">
        <f>AND(SpotVsReserved!G108,"AAAAAD34ztU=")</f>
        <v>#VALUE!</v>
      </c>
      <c r="HG12">
        <f>IF(SpotVsReserved!109:109,"AAAAAD34ztY=",0)</f>
        <v>0</v>
      </c>
      <c r="HH12" t="e">
        <f>AND(SpotVsReserved!A109,"AAAAAD34ztc=")</f>
        <v>#VALUE!</v>
      </c>
      <c r="HI12" t="e">
        <f>AND(SpotVsReserved!B109,"AAAAAD34ztg=")</f>
        <v>#VALUE!</v>
      </c>
      <c r="HJ12" t="e">
        <f>AND(SpotVsReserved!C109,"AAAAAD34ztk=")</f>
        <v>#VALUE!</v>
      </c>
      <c r="HK12" t="e">
        <f>AND(SpotVsReserved!D109,"AAAAAD34zto=")</f>
        <v>#VALUE!</v>
      </c>
      <c r="HL12" t="e">
        <f>AND(SpotVsReserved!E109,"AAAAAD34zts=")</f>
        <v>#VALUE!</v>
      </c>
      <c r="HM12" t="e">
        <f>AND(SpotVsReserved!F109,"AAAAAD34ztw=")</f>
        <v>#VALUE!</v>
      </c>
      <c r="HN12" t="e">
        <f>AND(SpotVsReserved!G109,"AAAAAD34zt0=")</f>
        <v>#VALUE!</v>
      </c>
      <c r="HO12">
        <f>IF(SpotVsReserved!110:110,"AAAAAD34zt4=",0)</f>
        <v>0</v>
      </c>
      <c r="HP12" t="e">
        <f>AND(SpotVsReserved!A110,"AAAAAD34zt8=")</f>
        <v>#VALUE!</v>
      </c>
      <c r="HQ12" t="e">
        <f>AND(SpotVsReserved!B110,"AAAAAD34zuA=")</f>
        <v>#VALUE!</v>
      </c>
      <c r="HR12" t="e">
        <f>AND(SpotVsReserved!C110,"AAAAAD34zuE=")</f>
        <v>#VALUE!</v>
      </c>
      <c r="HS12" t="e">
        <f>AND(SpotVsReserved!D110,"AAAAAD34zuI=")</f>
        <v>#VALUE!</v>
      </c>
      <c r="HT12" t="e">
        <f>AND(SpotVsReserved!E110,"AAAAAD34zuM=")</f>
        <v>#VALUE!</v>
      </c>
      <c r="HU12" t="e">
        <f>AND(SpotVsReserved!F110,"AAAAAD34zuQ=")</f>
        <v>#VALUE!</v>
      </c>
      <c r="HV12" t="e">
        <f>AND(SpotVsReserved!G110,"AAAAAD34zuU=")</f>
        <v>#VALUE!</v>
      </c>
      <c r="HW12">
        <f>IF(SpotVsReserved!111:111,"AAAAAD34zuY=",0)</f>
        <v>0</v>
      </c>
      <c r="HX12" t="e">
        <f>AND(SpotVsReserved!A111,"AAAAAD34zuc=")</f>
        <v>#VALUE!</v>
      </c>
      <c r="HY12" t="e">
        <f>AND(SpotVsReserved!B111,"AAAAAD34zug=")</f>
        <v>#VALUE!</v>
      </c>
      <c r="HZ12" t="e">
        <f>AND(SpotVsReserved!C111,"AAAAAD34zuk=")</f>
        <v>#VALUE!</v>
      </c>
      <c r="IA12" t="e">
        <f>AND(SpotVsReserved!D111,"AAAAAD34zuo=")</f>
        <v>#VALUE!</v>
      </c>
      <c r="IB12" t="e">
        <f>AND(SpotVsReserved!E111,"AAAAAD34zus=")</f>
        <v>#VALUE!</v>
      </c>
      <c r="IC12" t="e">
        <f>AND(SpotVsReserved!F111,"AAAAAD34zuw=")</f>
        <v>#VALUE!</v>
      </c>
      <c r="ID12" t="e">
        <f>AND(SpotVsReserved!G111,"AAAAAD34zu0=")</f>
        <v>#VALUE!</v>
      </c>
      <c r="IE12">
        <f>IF(SpotVsReserved!112:112,"AAAAAD34zu4=",0)</f>
        <v>0</v>
      </c>
      <c r="IF12" t="e">
        <f>AND(SpotVsReserved!A112,"AAAAAD34zu8=")</f>
        <v>#VALUE!</v>
      </c>
      <c r="IG12" t="e">
        <f>AND(SpotVsReserved!B112,"AAAAAD34zvA=")</f>
        <v>#VALUE!</v>
      </c>
      <c r="IH12" t="e">
        <f>AND(SpotVsReserved!C112,"AAAAAD34zvE=")</f>
        <v>#VALUE!</v>
      </c>
      <c r="II12" t="e">
        <f>AND(SpotVsReserved!D112,"AAAAAD34zvI=")</f>
        <v>#VALUE!</v>
      </c>
      <c r="IJ12" t="e">
        <f>AND(SpotVsReserved!E112,"AAAAAD34zvM=")</f>
        <v>#VALUE!</v>
      </c>
      <c r="IK12" t="e">
        <f>AND(SpotVsReserved!F112,"AAAAAD34zvQ=")</f>
        <v>#VALUE!</v>
      </c>
      <c r="IL12" t="e">
        <f>AND(SpotVsReserved!G112,"AAAAAD34zvU=")</f>
        <v>#VALUE!</v>
      </c>
      <c r="IM12">
        <f>IF(SpotVsReserved!113:113,"AAAAAD34zvY=",0)</f>
        <v>0</v>
      </c>
      <c r="IN12" t="e">
        <f>AND(SpotVsReserved!A113,"AAAAAD34zvc=")</f>
        <v>#VALUE!</v>
      </c>
      <c r="IO12" t="e">
        <f>AND(SpotVsReserved!B113,"AAAAAD34zvg=")</f>
        <v>#VALUE!</v>
      </c>
      <c r="IP12" t="e">
        <f>AND(SpotVsReserved!C113,"AAAAAD34zvk=")</f>
        <v>#VALUE!</v>
      </c>
      <c r="IQ12" t="e">
        <f>AND(SpotVsReserved!D113,"AAAAAD34zvo=")</f>
        <v>#VALUE!</v>
      </c>
      <c r="IR12" t="e">
        <f>AND(SpotVsReserved!E113,"AAAAAD34zvs=")</f>
        <v>#VALUE!</v>
      </c>
      <c r="IS12" t="e">
        <f>AND(SpotVsReserved!F113,"AAAAAD34zvw=")</f>
        <v>#VALUE!</v>
      </c>
      <c r="IT12" t="e">
        <f>AND(SpotVsReserved!G113,"AAAAAD34zv0=")</f>
        <v>#VALUE!</v>
      </c>
      <c r="IU12">
        <f>IF(SpotVsReserved!114:114,"AAAAAD34zv4=",0)</f>
        <v>0</v>
      </c>
      <c r="IV12" t="e">
        <f>AND(SpotVsReserved!A114,"AAAAAD34zv8=")</f>
        <v>#VALUE!</v>
      </c>
    </row>
    <row r="13" spans="1:256" x14ac:dyDescent="0.25">
      <c r="A13" t="e">
        <f>AND(SpotVsReserved!B114,"AAAAAH7u8wA=")</f>
        <v>#VALUE!</v>
      </c>
      <c r="B13" t="e">
        <f>AND(SpotVsReserved!C114,"AAAAAH7u8wE=")</f>
        <v>#VALUE!</v>
      </c>
      <c r="C13" t="e">
        <f>AND(SpotVsReserved!D114,"AAAAAH7u8wI=")</f>
        <v>#VALUE!</v>
      </c>
      <c r="D13" t="e">
        <f>AND(SpotVsReserved!E114,"AAAAAH7u8wM=")</f>
        <v>#VALUE!</v>
      </c>
      <c r="E13" t="e">
        <f>AND(SpotVsReserved!F114,"AAAAAH7u8wQ=")</f>
        <v>#VALUE!</v>
      </c>
      <c r="F13" t="e">
        <f>AND(SpotVsReserved!G114,"AAAAAH7u8wU=")</f>
        <v>#VALUE!</v>
      </c>
      <c r="G13" t="str">
        <f>IF(SpotVsReserved!115:115,"AAAAAH7u8wY=",0)</f>
        <v>AAAAAH7u8wY=</v>
      </c>
      <c r="H13" t="e">
        <f>AND(SpotVsReserved!A115,"AAAAAH7u8wc=")</f>
        <v>#VALUE!</v>
      </c>
      <c r="I13" t="e">
        <f>AND(SpotVsReserved!B115,"AAAAAH7u8wg=")</f>
        <v>#VALUE!</v>
      </c>
      <c r="J13" t="e">
        <f>AND(SpotVsReserved!C115,"AAAAAH7u8wk=")</f>
        <v>#VALUE!</v>
      </c>
      <c r="K13" t="e">
        <f>AND(SpotVsReserved!D115,"AAAAAH7u8wo=")</f>
        <v>#VALUE!</v>
      </c>
      <c r="L13" t="e">
        <f>AND(SpotVsReserved!E115,"AAAAAH7u8ws=")</f>
        <v>#VALUE!</v>
      </c>
      <c r="M13" t="e">
        <f>AND(SpotVsReserved!F115,"AAAAAH7u8ww=")</f>
        <v>#VALUE!</v>
      </c>
      <c r="N13" t="e">
        <f>AND(SpotVsReserved!G115,"AAAAAH7u8w0=")</f>
        <v>#VALUE!</v>
      </c>
      <c r="O13">
        <f>IF(SpotVsReserved!116:116,"AAAAAH7u8w4=",0)</f>
        <v>0</v>
      </c>
      <c r="P13" t="e">
        <f>AND(SpotVsReserved!A116,"AAAAAH7u8w8=")</f>
        <v>#VALUE!</v>
      </c>
      <c r="Q13" t="e">
        <f>AND(SpotVsReserved!B116,"AAAAAH7u8xA=")</f>
        <v>#VALUE!</v>
      </c>
      <c r="R13" t="e">
        <f>AND(SpotVsReserved!C116,"AAAAAH7u8xE=")</f>
        <v>#VALUE!</v>
      </c>
      <c r="S13" t="e">
        <f>AND(SpotVsReserved!D116,"AAAAAH7u8xI=")</f>
        <v>#VALUE!</v>
      </c>
      <c r="T13" t="e">
        <f>AND(SpotVsReserved!E116,"AAAAAH7u8xM=")</f>
        <v>#VALUE!</v>
      </c>
      <c r="U13" t="e">
        <f>AND(SpotVsReserved!F116,"AAAAAH7u8xQ=")</f>
        <v>#VALUE!</v>
      </c>
      <c r="V13" t="e">
        <f>AND(SpotVsReserved!G116,"AAAAAH7u8xU=")</f>
        <v>#VALUE!</v>
      </c>
      <c r="W13">
        <f>IF(SpotVsReserved!117:117,"AAAAAH7u8xY=",0)</f>
        <v>0</v>
      </c>
      <c r="X13" t="e">
        <f>AND(SpotVsReserved!A117,"AAAAAH7u8xc=")</f>
        <v>#VALUE!</v>
      </c>
      <c r="Y13" t="e">
        <f>AND(SpotVsReserved!B117,"AAAAAH7u8xg=")</f>
        <v>#VALUE!</v>
      </c>
      <c r="Z13" t="e">
        <f>AND(SpotVsReserved!C117,"AAAAAH7u8xk=")</f>
        <v>#VALUE!</v>
      </c>
      <c r="AA13" t="e">
        <f>AND(SpotVsReserved!D117,"AAAAAH7u8xo=")</f>
        <v>#VALUE!</v>
      </c>
      <c r="AB13" t="e">
        <f>AND(SpotVsReserved!E117,"AAAAAH7u8xs=")</f>
        <v>#VALUE!</v>
      </c>
      <c r="AC13" t="e">
        <f>AND(SpotVsReserved!F117,"AAAAAH7u8xw=")</f>
        <v>#VALUE!</v>
      </c>
      <c r="AD13" t="e">
        <f>AND(SpotVsReserved!G117,"AAAAAH7u8x0=")</f>
        <v>#VALUE!</v>
      </c>
      <c r="AE13">
        <f>IF(SpotVsReserved!118:118,"AAAAAH7u8x4=",0)</f>
        <v>0</v>
      </c>
      <c r="AF13" t="e">
        <f>AND(SpotVsReserved!A118,"AAAAAH7u8x8=")</f>
        <v>#VALUE!</v>
      </c>
      <c r="AG13" t="e">
        <f>AND(SpotVsReserved!B118,"AAAAAH7u8yA=")</f>
        <v>#VALUE!</v>
      </c>
      <c r="AH13" t="e">
        <f>AND(SpotVsReserved!C118,"AAAAAH7u8yE=")</f>
        <v>#VALUE!</v>
      </c>
      <c r="AI13" t="e">
        <f>AND(SpotVsReserved!D118,"AAAAAH7u8yI=")</f>
        <v>#VALUE!</v>
      </c>
      <c r="AJ13" t="e">
        <f>AND(SpotVsReserved!E118,"AAAAAH7u8yM=")</f>
        <v>#VALUE!</v>
      </c>
      <c r="AK13" t="e">
        <f>AND(SpotVsReserved!F118,"AAAAAH7u8yQ=")</f>
        <v>#VALUE!</v>
      </c>
      <c r="AL13" t="e">
        <f>AND(SpotVsReserved!G118,"AAAAAH7u8yU=")</f>
        <v>#VALUE!</v>
      </c>
      <c r="AM13">
        <f>IF(SpotVsReserved!119:119,"AAAAAH7u8yY=",0)</f>
        <v>0</v>
      </c>
      <c r="AN13" t="e">
        <f>AND(SpotVsReserved!A119,"AAAAAH7u8yc=")</f>
        <v>#VALUE!</v>
      </c>
      <c r="AO13" t="e">
        <f>AND(SpotVsReserved!B119,"AAAAAH7u8yg=")</f>
        <v>#VALUE!</v>
      </c>
      <c r="AP13" t="e">
        <f>AND(SpotVsReserved!C119,"AAAAAH7u8yk=")</f>
        <v>#VALUE!</v>
      </c>
      <c r="AQ13" t="e">
        <f>AND(SpotVsReserved!D119,"AAAAAH7u8yo=")</f>
        <v>#VALUE!</v>
      </c>
      <c r="AR13" t="e">
        <f>AND(SpotVsReserved!E119,"AAAAAH7u8ys=")</f>
        <v>#VALUE!</v>
      </c>
      <c r="AS13" t="e">
        <f>AND(SpotVsReserved!F119,"AAAAAH7u8yw=")</f>
        <v>#VALUE!</v>
      </c>
      <c r="AT13" t="e">
        <f>AND(SpotVsReserved!G119,"AAAAAH7u8y0=")</f>
        <v>#VALUE!</v>
      </c>
      <c r="AU13">
        <f>IF(SpotVsReserved!120:120,"AAAAAH7u8y4=",0)</f>
        <v>0</v>
      </c>
      <c r="AV13" t="e">
        <f>AND(SpotVsReserved!A120,"AAAAAH7u8y8=")</f>
        <v>#VALUE!</v>
      </c>
      <c r="AW13" t="e">
        <f>AND(SpotVsReserved!B120,"AAAAAH7u8zA=")</f>
        <v>#VALUE!</v>
      </c>
      <c r="AX13" t="e">
        <f>AND(SpotVsReserved!C120,"AAAAAH7u8zE=")</f>
        <v>#VALUE!</v>
      </c>
      <c r="AY13" t="e">
        <f>AND(SpotVsReserved!D120,"AAAAAH7u8zI=")</f>
        <v>#VALUE!</v>
      </c>
      <c r="AZ13" t="e">
        <f>AND(SpotVsReserved!E120,"AAAAAH7u8zM=")</f>
        <v>#VALUE!</v>
      </c>
      <c r="BA13" t="e">
        <f>AND(SpotVsReserved!F120,"AAAAAH7u8zQ=")</f>
        <v>#VALUE!</v>
      </c>
      <c r="BB13" t="e">
        <f>AND(SpotVsReserved!G120,"AAAAAH7u8zU=")</f>
        <v>#VALUE!</v>
      </c>
      <c r="BC13">
        <f>IF(SpotVsReserved!121:121,"AAAAAH7u8zY=",0)</f>
        <v>0</v>
      </c>
      <c r="BD13" t="e">
        <f>AND(SpotVsReserved!A121,"AAAAAH7u8zc=")</f>
        <v>#VALUE!</v>
      </c>
      <c r="BE13" t="e">
        <f>AND(SpotVsReserved!B121,"AAAAAH7u8zg=")</f>
        <v>#VALUE!</v>
      </c>
      <c r="BF13" t="e">
        <f>AND(SpotVsReserved!C121,"AAAAAH7u8zk=")</f>
        <v>#VALUE!</v>
      </c>
      <c r="BG13" t="e">
        <f>AND(SpotVsReserved!D121,"AAAAAH7u8zo=")</f>
        <v>#VALUE!</v>
      </c>
      <c r="BH13" t="e">
        <f>AND(SpotVsReserved!E121,"AAAAAH7u8zs=")</f>
        <v>#VALUE!</v>
      </c>
      <c r="BI13" t="e">
        <f>AND(SpotVsReserved!F121,"AAAAAH7u8zw=")</f>
        <v>#VALUE!</v>
      </c>
      <c r="BJ13" t="e">
        <f>AND(SpotVsReserved!G121,"AAAAAH7u8z0=")</f>
        <v>#VALUE!</v>
      </c>
      <c r="BK13">
        <f>IF(SpotVsReserved!122:122,"AAAAAH7u8z4=",0)</f>
        <v>0</v>
      </c>
      <c r="BL13" t="e">
        <f>AND(SpotVsReserved!A122,"AAAAAH7u8z8=")</f>
        <v>#VALUE!</v>
      </c>
      <c r="BM13" t="e">
        <f>AND(SpotVsReserved!B122,"AAAAAH7u80A=")</f>
        <v>#VALUE!</v>
      </c>
      <c r="BN13" t="e">
        <f>AND(SpotVsReserved!C122,"AAAAAH7u80E=")</f>
        <v>#VALUE!</v>
      </c>
      <c r="BO13" t="e">
        <f>AND(SpotVsReserved!D122,"AAAAAH7u80I=")</f>
        <v>#VALUE!</v>
      </c>
      <c r="BP13" t="e">
        <f>AND(SpotVsReserved!E122,"AAAAAH7u80M=")</f>
        <v>#VALUE!</v>
      </c>
      <c r="BQ13" t="e">
        <f>AND(SpotVsReserved!F122,"AAAAAH7u80Q=")</f>
        <v>#VALUE!</v>
      </c>
      <c r="BR13" t="e">
        <f>AND(SpotVsReserved!G122,"AAAAAH7u80U=")</f>
        <v>#VALUE!</v>
      </c>
      <c r="BS13">
        <f>IF(SpotVsReserved!123:123,"AAAAAH7u80Y=",0)</f>
        <v>0</v>
      </c>
      <c r="BT13" t="e">
        <f>AND(SpotVsReserved!A123,"AAAAAH7u80c=")</f>
        <v>#VALUE!</v>
      </c>
      <c r="BU13" t="e">
        <f>AND(SpotVsReserved!B123,"AAAAAH7u80g=")</f>
        <v>#VALUE!</v>
      </c>
      <c r="BV13" t="e">
        <f>AND(SpotVsReserved!C123,"AAAAAH7u80k=")</f>
        <v>#VALUE!</v>
      </c>
      <c r="BW13" t="e">
        <f>AND(SpotVsReserved!D123,"AAAAAH7u80o=")</f>
        <v>#VALUE!</v>
      </c>
      <c r="BX13" t="e">
        <f>AND(SpotVsReserved!E123,"AAAAAH7u80s=")</f>
        <v>#VALUE!</v>
      </c>
      <c r="BY13" t="e">
        <f>AND(SpotVsReserved!F123,"AAAAAH7u80w=")</f>
        <v>#VALUE!</v>
      </c>
      <c r="BZ13" t="e">
        <f>AND(SpotVsReserved!G123,"AAAAAH7u800=")</f>
        <v>#VALUE!</v>
      </c>
      <c r="CA13">
        <f>IF(SpotVsReserved!124:124,"AAAAAH7u804=",0)</f>
        <v>0</v>
      </c>
      <c r="CB13" t="e">
        <f>AND(SpotVsReserved!A124,"AAAAAH7u808=")</f>
        <v>#VALUE!</v>
      </c>
      <c r="CC13" t="e">
        <f>AND(SpotVsReserved!B124,"AAAAAH7u81A=")</f>
        <v>#VALUE!</v>
      </c>
      <c r="CD13" t="e">
        <f>AND(SpotVsReserved!C124,"AAAAAH7u81E=")</f>
        <v>#VALUE!</v>
      </c>
      <c r="CE13" t="e">
        <f>AND(SpotVsReserved!D124,"AAAAAH7u81I=")</f>
        <v>#VALUE!</v>
      </c>
      <c r="CF13" t="e">
        <f>AND(SpotVsReserved!E124,"AAAAAH7u81M=")</f>
        <v>#VALUE!</v>
      </c>
      <c r="CG13" t="e">
        <f>AND(SpotVsReserved!F124,"AAAAAH7u81Q=")</f>
        <v>#VALUE!</v>
      </c>
      <c r="CH13" t="e">
        <f>AND(SpotVsReserved!G124,"AAAAAH7u81U=")</f>
        <v>#VALUE!</v>
      </c>
      <c r="CI13">
        <f>IF(SpotVsReserved!125:125,"AAAAAH7u81Y=",0)</f>
        <v>0</v>
      </c>
      <c r="CJ13" t="e">
        <f>AND(SpotVsReserved!A125,"AAAAAH7u81c=")</f>
        <v>#VALUE!</v>
      </c>
      <c r="CK13" t="e">
        <f>AND(SpotVsReserved!B125,"AAAAAH7u81g=")</f>
        <v>#VALUE!</v>
      </c>
      <c r="CL13" t="e">
        <f>AND(SpotVsReserved!C125,"AAAAAH7u81k=")</f>
        <v>#VALUE!</v>
      </c>
      <c r="CM13" t="e">
        <f>AND(SpotVsReserved!D125,"AAAAAH7u81o=")</f>
        <v>#VALUE!</v>
      </c>
      <c r="CN13" t="e">
        <f>AND(SpotVsReserved!E125,"AAAAAH7u81s=")</f>
        <v>#VALUE!</v>
      </c>
      <c r="CO13" t="e">
        <f>AND(SpotVsReserved!F125,"AAAAAH7u81w=")</f>
        <v>#VALUE!</v>
      </c>
      <c r="CP13" t="e">
        <f>AND(SpotVsReserved!G125,"AAAAAH7u810=")</f>
        <v>#VALUE!</v>
      </c>
      <c r="CQ13">
        <f>IF(SpotVsReserved!126:126,"AAAAAH7u814=",0)</f>
        <v>0</v>
      </c>
      <c r="CR13" t="e">
        <f>AND(SpotVsReserved!A126,"AAAAAH7u818=")</f>
        <v>#VALUE!</v>
      </c>
      <c r="CS13" t="e">
        <f>AND(SpotVsReserved!B126,"AAAAAH7u82A=")</f>
        <v>#VALUE!</v>
      </c>
      <c r="CT13" t="e">
        <f>AND(SpotVsReserved!C126,"AAAAAH7u82E=")</f>
        <v>#VALUE!</v>
      </c>
      <c r="CU13" t="e">
        <f>AND(SpotVsReserved!D126,"AAAAAH7u82I=")</f>
        <v>#VALUE!</v>
      </c>
      <c r="CV13" t="e">
        <f>AND(SpotVsReserved!E126,"AAAAAH7u82M=")</f>
        <v>#VALUE!</v>
      </c>
      <c r="CW13" t="e">
        <f>AND(SpotVsReserved!F126,"AAAAAH7u82Q=")</f>
        <v>#VALUE!</v>
      </c>
      <c r="CX13" t="e">
        <f>AND(SpotVsReserved!G126,"AAAAAH7u82U=")</f>
        <v>#VALUE!</v>
      </c>
      <c r="CY13">
        <f>IF(SpotVsReserved!127:127,"AAAAAH7u82Y=",0)</f>
        <v>0</v>
      </c>
      <c r="CZ13" t="e">
        <f>AND(SpotVsReserved!A127,"AAAAAH7u82c=")</f>
        <v>#VALUE!</v>
      </c>
      <c r="DA13" t="e">
        <f>AND(SpotVsReserved!B127,"AAAAAH7u82g=")</f>
        <v>#VALUE!</v>
      </c>
      <c r="DB13" t="e">
        <f>AND(SpotVsReserved!C127,"AAAAAH7u82k=")</f>
        <v>#VALUE!</v>
      </c>
      <c r="DC13" t="e">
        <f>AND(SpotVsReserved!D127,"AAAAAH7u82o=")</f>
        <v>#VALUE!</v>
      </c>
      <c r="DD13" t="e">
        <f>AND(SpotVsReserved!E127,"AAAAAH7u82s=")</f>
        <v>#VALUE!</v>
      </c>
      <c r="DE13" t="e">
        <f>AND(SpotVsReserved!F127,"AAAAAH7u82w=")</f>
        <v>#VALUE!</v>
      </c>
      <c r="DF13" t="e">
        <f>AND(SpotVsReserved!G127,"AAAAAH7u820=")</f>
        <v>#VALUE!</v>
      </c>
      <c r="DG13">
        <f>IF(SpotVsReserved!128:128,"AAAAAH7u824=",0)</f>
        <v>0</v>
      </c>
      <c r="DH13" t="e">
        <f>AND(SpotVsReserved!A128,"AAAAAH7u828=")</f>
        <v>#VALUE!</v>
      </c>
      <c r="DI13" t="e">
        <f>AND(SpotVsReserved!B128,"AAAAAH7u83A=")</f>
        <v>#VALUE!</v>
      </c>
      <c r="DJ13" t="e">
        <f>AND(SpotVsReserved!C128,"AAAAAH7u83E=")</f>
        <v>#VALUE!</v>
      </c>
      <c r="DK13" t="e">
        <f>AND(SpotVsReserved!D128,"AAAAAH7u83I=")</f>
        <v>#VALUE!</v>
      </c>
      <c r="DL13" t="e">
        <f>AND(SpotVsReserved!E128,"AAAAAH7u83M=")</f>
        <v>#VALUE!</v>
      </c>
      <c r="DM13" t="e">
        <f>AND(SpotVsReserved!F128,"AAAAAH7u83Q=")</f>
        <v>#VALUE!</v>
      </c>
      <c r="DN13" t="e">
        <f>AND(SpotVsReserved!G128,"AAAAAH7u83U=")</f>
        <v>#VALUE!</v>
      </c>
      <c r="DO13">
        <f>IF(SpotVsReserved!129:129,"AAAAAH7u83Y=",0)</f>
        <v>0</v>
      </c>
      <c r="DP13" t="e">
        <f>AND(SpotVsReserved!A129,"AAAAAH7u83c=")</f>
        <v>#VALUE!</v>
      </c>
      <c r="DQ13" t="e">
        <f>AND(SpotVsReserved!B129,"AAAAAH7u83g=")</f>
        <v>#VALUE!</v>
      </c>
      <c r="DR13" t="e">
        <f>AND(SpotVsReserved!C129,"AAAAAH7u83k=")</f>
        <v>#VALUE!</v>
      </c>
      <c r="DS13" t="e">
        <f>AND(SpotVsReserved!D129,"AAAAAH7u83o=")</f>
        <v>#VALUE!</v>
      </c>
      <c r="DT13" t="e">
        <f>AND(SpotVsReserved!E129,"AAAAAH7u83s=")</f>
        <v>#VALUE!</v>
      </c>
      <c r="DU13" t="e">
        <f>AND(SpotVsReserved!F129,"AAAAAH7u83w=")</f>
        <v>#VALUE!</v>
      </c>
      <c r="DV13" t="e">
        <f>AND(SpotVsReserved!G129,"AAAAAH7u830=")</f>
        <v>#VALUE!</v>
      </c>
      <c r="DW13">
        <f>IF(SpotVsReserved!130:130,"AAAAAH7u834=",0)</f>
        <v>0</v>
      </c>
      <c r="DX13" t="e">
        <f>AND(SpotVsReserved!A130,"AAAAAH7u838=")</f>
        <v>#VALUE!</v>
      </c>
      <c r="DY13" t="e">
        <f>AND(SpotVsReserved!B130,"AAAAAH7u84A=")</f>
        <v>#VALUE!</v>
      </c>
      <c r="DZ13" t="e">
        <f>AND(SpotVsReserved!C130,"AAAAAH7u84E=")</f>
        <v>#VALUE!</v>
      </c>
      <c r="EA13" t="e">
        <f>AND(SpotVsReserved!D130,"AAAAAH7u84I=")</f>
        <v>#VALUE!</v>
      </c>
      <c r="EB13" t="e">
        <f>AND(SpotVsReserved!E130,"AAAAAH7u84M=")</f>
        <v>#VALUE!</v>
      </c>
      <c r="EC13" t="e">
        <f>AND(SpotVsReserved!F130,"AAAAAH7u84Q=")</f>
        <v>#VALUE!</v>
      </c>
      <c r="ED13" t="e">
        <f>AND(SpotVsReserved!G130,"AAAAAH7u84U=")</f>
        <v>#VALUE!</v>
      </c>
      <c r="EE13">
        <f>IF(SpotVsReserved!131:131,"AAAAAH7u84Y=",0)</f>
        <v>0</v>
      </c>
      <c r="EF13" t="e">
        <f>AND(SpotVsReserved!A131,"AAAAAH7u84c=")</f>
        <v>#VALUE!</v>
      </c>
      <c r="EG13" t="e">
        <f>AND(SpotVsReserved!B131,"AAAAAH7u84g=")</f>
        <v>#VALUE!</v>
      </c>
      <c r="EH13" t="e">
        <f>AND(SpotVsReserved!C131,"AAAAAH7u84k=")</f>
        <v>#VALUE!</v>
      </c>
      <c r="EI13" t="e">
        <f>AND(SpotVsReserved!D131,"AAAAAH7u84o=")</f>
        <v>#VALUE!</v>
      </c>
      <c r="EJ13" t="e">
        <f>AND(SpotVsReserved!E131,"AAAAAH7u84s=")</f>
        <v>#VALUE!</v>
      </c>
      <c r="EK13" t="e">
        <f>AND(SpotVsReserved!F131,"AAAAAH7u84w=")</f>
        <v>#VALUE!</v>
      </c>
      <c r="EL13" t="e">
        <f>AND(SpotVsReserved!G131,"AAAAAH7u840=")</f>
        <v>#VALUE!</v>
      </c>
      <c r="EM13">
        <f>IF(SpotVsReserved!132:132,"AAAAAH7u844=",0)</f>
        <v>0</v>
      </c>
      <c r="EN13" t="e">
        <f>AND(SpotVsReserved!A132,"AAAAAH7u848=")</f>
        <v>#VALUE!</v>
      </c>
      <c r="EO13" t="e">
        <f>AND(SpotVsReserved!B132,"AAAAAH7u85A=")</f>
        <v>#VALUE!</v>
      </c>
      <c r="EP13" t="e">
        <f>AND(SpotVsReserved!C132,"AAAAAH7u85E=")</f>
        <v>#VALUE!</v>
      </c>
      <c r="EQ13" t="e">
        <f>AND(SpotVsReserved!D132,"AAAAAH7u85I=")</f>
        <v>#VALUE!</v>
      </c>
      <c r="ER13" t="e">
        <f>AND(SpotVsReserved!E132,"AAAAAH7u85M=")</f>
        <v>#VALUE!</v>
      </c>
      <c r="ES13" t="e">
        <f>AND(SpotVsReserved!F132,"AAAAAH7u85Q=")</f>
        <v>#VALUE!</v>
      </c>
      <c r="ET13" t="e">
        <f>AND(SpotVsReserved!G132,"AAAAAH7u85U=")</f>
        <v>#VALUE!</v>
      </c>
      <c r="EU13">
        <f>IF(SpotVsReserved!133:133,"AAAAAH7u85Y=",0)</f>
        <v>0</v>
      </c>
      <c r="EV13" t="e">
        <f>AND(SpotVsReserved!A133,"AAAAAH7u85c=")</f>
        <v>#VALUE!</v>
      </c>
      <c r="EW13" t="e">
        <f>AND(SpotVsReserved!B133,"AAAAAH7u85g=")</f>
        <v>#VALUE!</v>
      </c>
      <c r="EX13" t="e">
        <f>AND(SpotVsReserved!C133,"AAAAAH7u85k=")</f>
        <v>#VALUE!</v>
      </c>
      <c r="EY13" t="e">
        <f>AND(SpotVsReserved!D133,"AAAAAH7u85o=")</f>
        <v>#VALUE!</v>
      </c>
      <c r="EZ13" t="e">
        <f>AND(SpotVsReserved!E133,"AAAAAH7u85s=")</f>
        <v>#VALUE!</v>
      </c>
      <c r="FA13" t="e">
        <f>AND(SpotVsReserved!F133,"AAAAAH7u85w=")</f>
        <v>#VALUE!</v>
      </c>
      <c r="FB13" t="e">
        <f>AND(SpotVsReserved!G133,"AAAAAH7u850=")</f>
        <v>#VALUE!</v>
      </c>
      <c r="FC13">
        <f>IF(SpotVsReserved!134:134,"AAAAAH7u854=",0)</f>
        <v>0</v>
      </c>
      <c r="FD13" t="e">
        <f>AND(SpotVsReserved!A134,"AAAAAH7u858=")</f>
        <v>#VALUE!</v>
      </c>
      <c r="FE13" t="e">
        <f>AND(SpotVsReserved!B134,"AAAAAH7u86A=")</f>
        <v>#VALUE!</v>
      </c>
      <c r="FF13" t="e">
        <f>AND(SpotVsReserved!C134,"AAAAAH7u86E=")</f>
        <v>#VALUE!</v>
      </c>
      <c r="FG13" t="e">
        <f>AND(SpotVsReserved!D134,"AAAAAH7u86I=")</f>
        <v>#VALUE!</v>
      </c>
      <c r="FH13" t="e">
        <f>AND(SpotVsReserved!E134,"AAAAAH7u86M=")</f>
        <v>#VALUE!</v>
      </c>
      <c r="FI13" t="e">
        <f>AND(SpotVsReserved!F134,"AAAAAH7u86Q=")</f>
        <v>#VALUE!</v>
      </c>
      <c r="FJ13" t="e">
        <f>AND(SpotVsReserved!G134,"AAAAAH7u86U=")</f>
        <v>#VALUE!</v>
      </c>
      <c r="FK13">
        <f>IF(SpotVsReserved!135:135,"AAAAAH7u86Y=",0)</f>
        <v>0</v>
      </c>
      <c r="FL13" t="e">
        <f>AND(SpotVsReserved!A135,"AAAAAH7u86c=")</f>
        <v>#VALUE!</v>
      </c>
      <c r="FM13" t="e">
        <f>AND(SpotVsReserved!B135,"AAAAAH7u86g=")</f>
        <v>#VALUE!</v>
      </c>
      <c r="FN13" t="e">
        <f>AND(SpotVsReserved!C135,"AAAAAH7u86k=")</f>
        <v>#VALUE!</v>
      </c>
      <c r="FO13" t="e">
        <f>AND(SpotVsReserved!D135,"AAAAAH7u86o=")</f>
        <v>#VALUE!</v>
      </c>
      <c r="FP13" t="e">
        <f>AND(SpotVsReserved!E135,"AAAAAH7u86s=")</f>
        <v>#VALUE!</v>
      </c>
      <c r="FQ13" t="e">
        <f>AND(SpotVsReserved!F135,"AAAAAH7u86w=")</f>
        <v>#VALUE!</v>
      </c>
      <c r="FR13" t="e">
        <f>AND(SpotVsReserved!G135,"AAAAAH7u860=")</f>
        <v>#VALUE!</v>
      </c>
      <c r="FS13">
        <f>IF(SpotVsReserved!136:136,"AAAAAH7u864=",0)</f>
        <v>0</v>
      </c>
      <c r="FT13" t="e">
        <f>AND(SpotVsReserved!A136,"AAAAAH7u868=")</f>
        <v>#VALUE!</v>
      </c>
      <c r="FU13" t="e">
        <f>AND(SpotVsReserved!B136,"AAAAAH7u87A=")</f>
        <v>#VALUE!</v>
      </c>
      <c r="FV13" t="e">
        <f>AND(SpotVsReserved!C136,"AAAAAH7u87E=")</f>
        <v>#VALUE!</v>
      </c>
      <c r="FW13" t="e">
        <f>AND(SpotVsReserved!D136,"AAAAAH7u87I=")</f>
        <v>#VALUE!</v>
      </c>
      <c r="FX13" t="e">
        <f>AND(SpotVsReserved!E136,"AAAAAH7u87M=")</f>
        <v>#VALUE!</v>
      </c>
      <c r="FY13" t="e">
        <f>AND(SpotVsReserved!F136,"AAAAAH7u87Q=")</f>
        <v>#VALUE!</v>
      </c>
      <c r="FZ13" t="e">
        <f>AND(SpotVsReserved!G136,"AAAAAH7u87U=")</f>
        <v>#VALUE!</v>
      </c>
      <c r="GA13">
        <f>IF(SpotVsReserved!137:137,"AAAAAH7u87Y=",0)</f>
        <v>0</v>
      </c>
      <c r="GB13" t="e">
        <f>AND(SpotVsReserved!A137,"AAAAAH7u87c=")</f>
        <v>#VALUE!</v>
      </c>
      <c r="GC13" t="e">
        <f>AND(SpotVsReserved!B137,"AAAAAH7u87g=")</f>
        <v>#VALUE!</v>
      </c>
      <c r="GD13" t="e">
        <f>AND(SpotVsReserved!C137,"AAAAAH7u87k=")</f>
        <v>#VALUE!</v>
      </c>
      <c r="GE13" t="e">
        <f>AND(SpotVsReserved!D137,"AAAAAH7u87o=")</f>
        <v>#VALUE!</v>
      </c>
      <c r="GF13" t="e">
        <f>AND(SpotVsReserved!E137,"AAAAAH7u87s=")</f>
        <v>#VALUE!</v>
      </c>
      <c r="GG13" t="e">
        <f>AND(SpotVsReserved!F137,"AAAAAH7u87w=")</f>
        <v>#VALUE!</v>
      </c>
      <c r="GH13" t="e">
        <f>AND(SpotVsReserved!G137,"AAAAAH7u870=")</f>
        <v>#VALUE!</v>
      </c>
      <c r="GI13">
        <f>IF(SpotVsReserved!138:138,"AAAAAH7u874=",0)</f>
        <v>0</v>
      </c>
      <c r="GJ13" t="e">
        <f>AND(SpotVsReserved!A138,"AAAAAH7u878=")</f>
        <v>#VALUE!</v>
      </c>
      <c r="GK13" t="e">
        <f>AND(SpotVsReserved!B138,"AAAAAH7u88A=")</f>
        <v>#VALUE!</v>
      </c>
      <c r="GL13" t="e">
        <f>AND(SpotVsReserved!C138,"AAAAAH7u88E=")</f>
        <v>#VALUE!</v>
      </c>
      <c r="GM13" t="e">
        <f>AND(SpotVsReserved!D138,"AAAAAH7u88I=")</f>
        <v>#VALUE!</v>
      </c>
      <c r="GN13" t="e">
        <f>AND(SpotVsReserved!E138,"AAAAAH7u88M=")</f>
        <v>#VALUE!</v>
      </c>
      <c r="GO13" t="e">
        <f>AND(SpotVsReserved!F138,"AAAAAH7u88Q=")</f>
        <v>#VALUE!</v>
      </c>
      <c r="GP13" t="e">
        <f>AND(SpotVsReserved!G138,"AAAAAH7u88U=")</f>
        <v>#VALUE!</v>
      </c>
      <c r="GQ13">
        <f>IF(SpotVsReserved!139:139,"AAAAAH7u88Y=",0)</f>
        <v>0</v>
      </c>
      <c r="GR13" t="e">
        <f>AND(SpotVsReserved!A139,"AAAAAH7u88c=")</f>
        <v>#VALUE!</v>
      </c>
      <c r="GS13" t="e">
        <f>AND(SpotVsReserved!B139,"AAAAAH7u88g=")</f>
        <v>#VALUE!</v>
      </c>
      <c r="GT13" t="e">
        <f>AND(SpotVsReserved!C139,"AAAAAH7u88k=")</f>
        <v>#VALUE!</v>
      </c>
      <c r="GU13" t="e">
        <f>AND(SpotVsReserved!D139,"AAAAAH7u88o=")</f>
        <v>#VALUE!</v>
      </c>
      <c r="GV13" t="e">
        <f>AND(SpotVsReserved!E139,"AAAAAH7u88s=")</f>
        <v>#VALUE!</v>
      </c>
      <c r="GW13" t="e">
        <f>AND(SpotVsReserved!F139,"AAAAAH7u88w=")</f>
        <v>#VALUE!</v>
      </c>
      <c r="GX13" t="e">
        <f>AND(SpotVsReserved!G139,"AAAAAH7u880=")</f>
        <v>#VALUE!</v>
      </c>
      <c r="GY13">
        <f>IF(SpotVsReserved!140:140,"AAAAAH7u884=",0)</f>
        <v>0</v>
      </c>
      <c r="GZ13" t="e">
        <f>AND(SpotVsReserved!A140,"AAAAAH7u888=")</f>
        <v>#VALUE!</v>
      </c>
      <c r="HA13" t="e">
        <f>AND(SpotVsReserved!B140,"AAAAAH7u89A=")</f>
        <v>#VALUE!</v>
      </c>
      <c r="HB13" t="e">
        <f>AND(SpotVsReserved!C140,"AAAAAH7u89E=")</f>
        <v>#VALUE!</v>
      </c>
      <c r="HC13" t="e">
        <f>AND(SpotVsReserved!D140,"AAAAAH7u89I=")</f>
        <v>#VALUE!</v>
      </c>
      <c r="HD13" t="e">
        <f>AND(SpotVsReserved!E140,"AAAAAH7u89M=")</f>
        <v>#VALUE!</v>
      </c>
      <c r="HE13" t="e">
        <f>AND(SpotVsReserved!F140,"AAAAAH7u89Q=")</f>
        <v>#VALUE!</v>
      </c>
      <c r="HF13" t="e">
        <f>AND(SpotVsReserved!G140,"AAAAAH7u89U=")</f>
        <v>#VALUE!</v>
      </c>
      <c r="HG13">
        <f>IF(SpotVsReserved!141:141,"AAAAAH7u89Y=",0)</f>
        <v>0</v>
      </c>
      <c r="HH13" t="e">
        <f>AND(SpotVsReserved!A141,"AAAAAH7u89c=")</f>
        <v>#VALUE!</v>
      </c>
      <c r="HI13" t="e">
        <f>AND(SpotVsReserved!B141,"AAAAAH7u89g=")</f>
        <v>#VALUE!</v>
      </c>
      <c r="HJ13" t="e">
        <f>AND(SpotVsReserved!C141,"AAAAAH7u89k=")</f>
        <v>#VALUE!</v>
      </c>
      <c r="HK13" t="e">
        <f>AND(SpotVsReserved!D141,"AAAAAH7u89o=")</f>
        <v>#VALUE!</v>
      </c>
      <c r="HL13" t="e">
        <f>AND(SpotVsReserved!E141,"AAAAAH7u89s=")</f>
        <v>#VALUE!</v>
      </c>
      <c r="HM13" t="e">
        <f>AND(SpotVsReserved!F141,"AAAAAH7u89w=")</f>
        <v>#VALUE!</v>
      </c>
      <c r="HN13" t="e">
        <f>AND(SpotVsReserved!G141,"AAAAAH7u890=")</f>
        <v>#VALUE!</v>
      </c>
      <c r="HO13">
        <f>IF(SpotVsReserved!142:142,"AAAAAH7u894=",0)</f>
        <v>0</v>
      </c>
      <c r="HP13" t="e">
        <f>AND(SpotVsReserved!A142,"AAAAAH7u898=")</f>
        <v>#VALUE!</v>
      </c>
      <c r="HQ13" t="e">
        <f>AND(SpotVsReserved!B142,"AAAAAH7u8+A=")</f>
        <v>#VALUE!</v>
      </c>
      <c r="HR13" t="e">
        <f>AND(SpotVsReserved!C142,"AAAAAH7u8+E=")</f>
        <v>#VALUE!</v>
      </c>
      <c r="HS13" t="e">
        <f>AND(SpotVsReserved!D142,"AAAAAH7u8+I=")</f>
        <v>#VALUE!</v>
      </c>
      <c r="HT13" t="e">
        <f>AND(SpotVsReserved!E142,"AAAAAH7u8+M=")</f>
        <v>#VALUE!</v>
      </c>
      <c r="HU13" t="e">
        <f>AND(SpotVsReserved!F142,"AAAAAH7u8+Q=")</f>
        <v>#VALUE!</v>
      </c>
      <c r="HV13" t="e">
        <f>AND(SpotVsReserved!G142,"AAAAAH7u8+U=")</f>
        <v>#VALUE!</v>
      </c>
      <c r="HW13">
        <f>IF(SpotVsReserved!143:143,"AAAAAH7u8+Y=",0)</f>
        <v>0</v>
      </c>
      <c r="HX13" t="e">
        <f>AND(SpotVsReserved!A143,"AAAAAH7u8+c=")</f>
        <v>#VALUE!</v>
      </c>
      <c r="HY13" t="e">
        <f>AND(SpotVsReserved!B143,"AAAAAH7u8+g=")</f>
        <v>#VALUE!</v>
      </c>
      <c r="HZ13" t="e">
        <f>AND(SpotVsReserved!C143,"AAAAAH7u8+k=")</f>
        <v>#VALUE!</v>
      </c>
      <c r="IA13" t="e">
        <f>AND(SpotVsReserved!D143,"AAAAAH7u8+o=")</f>
        <v>#VALUE!</v>
      </c>
      <c r="IB13" t="e">
        <f>AND(SpotVsReserved!E143,"AAAAAH7u8+s=")</f>
        <v>#VALUE!</v>
      </c>
      <c r="IC13" t="e">
        <f>AND(SpotVsReserved!F143,"AAAAAH7u8+w=")</f>
        <v>#VALUE!</v>
      </c>
      <c r="ID13" t="e">
        <f>AND(SpotVsReserved!G143,"AAAAAH7u8+0=")</f>
        <v>#VALUE!</v>
      </c>
      <c r="IE13">
        <f>IF(SpotVsReserved!144:144,"AAAAAH7u8+4=",0)</f>
        <v>0</v>
      </c>
      <c r="IF13" t="e">
        <f>AND(SpotVsReserved!A144,"AAAAAH7u8+8=")</f>
        <v>#VALUE!</v>
      </c>
      <c r="IG13" t="e">
        <f>AND(SpotVsReserved!B144,"AAAAAH7u8/A=")</f>
        <v>#VALUE!</v>
      </c>
      <c r="IH13" t="e">
        <f>AND(SpotVsReserved!C144,"AAAAAH7u8/E=")</f>
        <v>#VALUE!</v>
      </c>
      <c r="II13" t="e">
        <f>AND(SpotVsReserved!D144,"AAAAAH7u8/I=")</f>
        <v>#VALUE!</v>
      </c>
      <c r="IJ13" t="e">
        <f>AND(SpotVsReserved!E144,"AAAAAH7u8/M=")</f>
        <v>#VALUE!</v>
      </c>
      <c r="IK13" t="e">
        <f>AND(SpotVsReserved!F144,"AAAAAH7u8/Q=")</f>
        <v>#VALUE!</v>
      </c>
      <c r="IL13" t="e">
        <f>AND(SpotVsReserved!G144,"AAAAAH7u8/U=")</f>
        <v>#VALUE!</v>
      </c>
      <c r="IM13">
        <f>IF(SpotVsReserved!145:145,"AAAAAH7u8/Y=",0)</f>
        <v>0</v>
      </c>
      <c r="IN13" t="e">
        <f>AND(SpotVsReserved!A145,"AAAAAH7u8/c=")</f>
        <v>#VALUE!</v>
      </c>
      <c r="IO13" t="e">
        <f>AND(SpotVsReserved!B145,"AAAAAH7u8/g=")</f>
        <v>#VALUE!</v>
      </c>
      <c r="IP13" t="e">
        <f>AND(SpotVsReserved!C145,"AAAAAH7u8/k=")</f>
        <v>#VALUE!</v>
      </c>
      <c r="IQ13" t="e">
        <f>AND(SpotVsReserved!D145,"AAAAAH7u8/o=")</f>
        <v>#VALUE!</v>
      </c>
      <c r="IR13" t="e">
        <f>AND(SpotVsReserved!E145,"AAAAAH7u8/s=")</f>
        <v>#VALUE!</v>
      </c>
      <c r="IS13" t="e">
        <f>AND(SpotVsReserved!F145,"AAAAAH7u8/w=")</f>
        <v>#VALUE!</v>
      </c>
      <c r="IT13" t="e">
        <f>AND(SpotVsReserved!G145,"AAAAAH7u8/0=")</f>
        <v>#VALUE!</v>
      </c>
      <c r="IU13">
        <f>IF(SpotVsReserved!146:146,"AAAAAH7u8/4=",0)</f>
        <v>0</v>
      </c>
      <c r="IV13" t="e">
        <f>AND(SpotVsReserved!A146,"AAAAAH7u8/8=")</f>
        <v>#VALUE!</v>
      </c>
    </row>
    <row r="14" spans="1:256" x14ac:dyDescent="0.25">
      <c r="A14" t="e">
        <f>AND(SpotVsReserved!B146,"AAAAADf5/wA=")</f>
        <v>#VALUE!</v>
      </c>
      <c r="B14" t="e">
        <f>AND(SpotVsReserved!C146,"AAAAADf5/wE=")</f>
        <v>#VALUE!</v>
      </c>
      <c r="C14" t="e">
        <f>AND(SpotVsReserved!D146,"AAAAADf5/wI=")</f>
        <v>#VALUE!</v>
      </c>
      <c r="D14" t="e">
        <f>AND(SpotVsReserved!E146,"AAAAADf5/wM=")</f>
        <v>#VALUE!</v>
      </c>
      <c r="E14" t="e">
        <f>AND(SpotVsReserved!F146,"AAAAADf5/wQ=")</f>
        <v>#VALUE!</v>
      </c>
      <c r="F14" t="e">
        <f>AND(SpotVsReserved!G146,"AAAAADf5/wU=")</f>
        <v>#VALUE!</v>
      </c>
      <c r="G14" t="e">
        <f>IF(SpotVsReserved!147:147,"AAAAADf5/wY=",0)</f>
        <v>#VALUE!</v>
      </c>
      <c r="H14" t="e">
        <f>AND(SpotVsReserved!A147,"AAAAADf5/wc=")</f>
        <v>#VALUE!</v>
      </c>
      <c r="I14" t="e">
        <f>AND(SpotVsReserved!B147,"AAAAADf5/wg=")</f>
        <v>#VALUE!</v>
      </c>
      <c r="J14" t="e">
        <f>AND(SpotVsReserved!C147,"AAAAADf5/wk=")</f>
        <v>#VALUE!</v>
      </c>
      <c r="K14" t="e">
        <f>AND(SpotVsReserved!D147,"AAAAADf5/wo=")</f>
        <v>#VALUE!</v>
      </c>
      <c r="L14" t="e">
        <f>AND(SpotVsReserved!E147,"AAAAADf5/ws=")</f>
        <v>#VALUE!</v>
      </c>
      <c r="M14" t="e">
        <f>AND(SpotVsReserved!F147,"AAAAADf5/ww=")</f>
        <v>#VALUE!</v>
      </c>
      <c r="N14" t="e">
        <f>AND(SpotVsReserved!G147,"AAAAADf5/w0=")</f>
        <v>#VALUE!</v>
      </c>
      <c r="O14">
        <f>IF(SpotVsReserved!148:148,"AAAAADf5/w4=",0)</f>
        <v>0</v>
      </c>
      <c r="P14" t="e">
        <f>AND(SpotVsReserved!A148,"AAAAADf5/w8=")</f>
        <v>#VALUE!</v>
      </c>
      <c r="Q14" t="e">
        <f>AND(SpotVsReserved!B148,"AAAAADf5/xA=")</f>
        <v>#VALUE!</v>
      </c>
      <c r="R14" t="e">
        <f>AND(SpotVsReserved!C148,"AAAAADf5/xE=")</f>
        <v>#VALUE!</v>
      </c>
      <c r="S14" t="e">
        <f>AND(SpotVsReserved!D148,"AAAAADf5/xI=")</f>
        <v>#VALUE!</v>
      </c>
      <c r="T14" t="e">
        <f>AND(SpotVsReserved!E148,"AAAAADf5/xM=")</f>
        <v>#VALUE!</v>
      </c>
      <c r="U14" t="e">
        <f>AND(SpotVsReserved!F148,"AAAAADf5/xQ=")</f>
        <v>#VALUE!</v>
      </c>
      <c r="V14" t="e">
        <f>AND(SpotVsReserved!G148,"AAAAADf5/xU=")</f>
        <v>#VALUE!</v>
      </c>
      <c r="W14">
        <f>IF(SpotVsReserved!149:149,"AAAAADf5/xY=",0)</f>
        <v>0</v>
      </c>
      <c r="X14" t="e">
        <f>AND(SpotVsReserved!A149,"AAAAADf5/xc=")</f>
        <v>#VALUE!</v>
      </c>
      <c r="Y14" t="e">
        <f>AND(SpotVsReserved!B149,"AAAAADf5/xg=")</f>
        <v>#VALUE!</v>
      </c>
      <c r="Z14" t="e">
        <f>AND(SpotVsReserved!C149,"AAAAADf5/xk=")</f>
        <v>#VALUE!</v>
      </c>
      <c r="AA14" t="e">
        <f>AND(SpotVsReserved!D149,"AAAAADf5/xo=")</f>
        <v>#VALUE!</v>
      </c>
      <c r="AB14" t="e">
        <f>AND(SpotVsReserved!E149,"AAAAADf5/xs=")</f>
        <v>#VALUE!</v>
      </c>
      <c r="AC14" t="e">
        <f>AND(SpotVsReserved!F149,"AAAAADf5/xw=")</f>
        <v>#VALUE!</v>
      </c>
      <c r="AD14" t="e">
        <f>AND(SpotVsReserved!G149,"AAAAADf5/x0=")</f>
        <v>#VALUE!</v>
      </c>
      <c r="AE14">
        <f>IF(SpotVsReserved!150:150,"AAAAADf5/x4=",0)</f>
        <v>0</v>
      </c>
      <c r="AF14" t="e">
        <f>AND(SpotVsReserved!A150,"AAAAADf5/x8=")</f>
        <v>#VALUE!</v>
      </c>
      <c r="AG14" t="e">
        <f>AND(SpotVsReserved!B150,"AAAAADf5/yA=")</f>
        <v>#VALUE!</v>
      </c>
      <c r="AH14" t="e">
        <f>AND(SpotVsReserved!C150,"AAAAADf5/yE=")</f>
        <v>#VALUE!</v>
      </c>
      <c r="AI14" t="e">
        <f>AND(SpotVsReserved!D150,"AAAAADf5/yI=")</f>
        <v>#VALUE!</v>
      </c>
      <c r="AJ14" t="e">
        <f>AND(SpotVsReserved!E150,"AAAAADf5/yM=")</f>
        <v>#VALUE!</v>
      </c>
      <c r="AK14" t="e">
        <f>AND(SpotVsReserved!F150,"AAAAADf5/yQ=")</f>
        <v>#VALUE!</v>
      </c>
      <c r="AL14" t="e">
        <f>AND(SpotVsReserved!G150,"AAAAADf5/yU=")</f>
        <v>#VALUE!</v>
      </c>
      <c r="AM14">
        <f>IF(SpotVsReserved!151:151,"AAAAADf5/yY=",0)</f>
        <v>0</v>
      </c>
      <c r="AN14" t="e">
        <f>AND(SpotVsReserved!A151,"AAAAADf5/yc=")</f>
        <v>#VALUE!</v>
      </c>
      <c r="AO14" t="e">
        <f>AND(SpotVsReserved!B151,"AAAAADf5/yg=")</f>
        <v>#VALUE!</v>
      </c>
      <c r="AP14" t="e">
        <f>AND(SpotVsReserved!C151,"AAAAADf5/yk=")</f>
        <v>#VALUE!</v>
      </c>
      <c r="AQ14" t="e">
        <f>AND(SpotVsReserved!D151,"AAAAADf5/yo=")</f>
        <v>#VALUE!</v>
      </c>
      <c r="AR14" t="e">
        <f>AND(SpotVsReserved!E151,"AAAAADf5/ys=")</f>
        <v>#VALUE!</v>
      </c>
      <c r="AS14" t="e">
        <f>AND(SpotVsReserved!F151,"AAAAADf5/yw=")</f>
        <v>#VALUE!</v>
      </c>
      <c r="AT14" t="e">
        <f>AND(SpotVsReserved!G151,"AAAAADf5/y0=")</f>
        <v>#VALUE!</v>
      </c>
      <c r="AU14">
        <f>IF(SpotVsReserved!152:152,"AAAAADf5/y4=",0)</f>
        <v>0</v>
      </c>
      <c r="AV14" t="e">
        <f>AND(SpotVsReserved!A152,"AAAAADf5/y8=")</f>
        <v>#VALUE!</v>
      </c>
      <c r="AW14" t="e">
        <f>AND(SpotVsReserved!B152,"AAAAADf5/zA=")</f>
        <v>#VALUE!</v>
      </c>
      <c r="AX14" t="e">
        <f>AND(SpotVsReserved!C152,"AAAAADf5/zE=")</f>
        <v>#VALUE!</v>
      </c>
      <c r="AY14" t="e">
        <f>AND(SpotVsReserved!D152,"AAAAADf5/zI=")</f>
        <v>#VALUE!</v>
      </c>
      <c r="AZ14" t="e">
        <f>AND(SpotVsReserved!E152,"AAAAADf5/zM=")</f>
        <v>#VALUE!</v>
      </c>
      <c r="BA14" t="e">
        <f>AND(SpotVsReserved!F152,"AAAAADf5/zQ=")</f>
        <v>#VALUE!</v>
      </c>
      <c r="BB14" t="e">
        <f>AND(SpotVsReserved!G152,"AAAAADf5/zU=")</f>
        <v>#VALUE!</v>
      </c>
      <c r="BC14">
        <f>IF(SpotVsReserved!153:153,"AAAAADf5/zY=",0)</f>
        <v>0</v>
      </c>
      <c r="BD14" t="e">
        <f>AND(SpotVsReserved!A153,"AAAAADf5/zc=")</f>
        <v>#VALUE!</v>
      </c>
      <c r="BE14" t="e">
        <f>AND(SpotVsReserved!B153,"AAAAADf5/zg=")</f>
        <v>#VALUE!</v>
      </c>
      <c r="BF14" t="e">
        <f>AND(SpotVsReserved!C153,"AAAAADf5/zk=")</f>
        <v>#VALUE!</v>
      </c>
      <c r="BG14" t="e">
        <f>AND(SpotVsReserved!D153,"AAAAADf5/zo=")</f>
        <v>#VALUE!</v>
      </c>
      <c r="BH14" t="e">
        <f>AND(SpotVsReserved!E153,"AAAAADf5/zs=")</f>
        <v>#VALUE!</v>
      </c>
      <c r="BI14" t="e">
        <f>AND(SpotVsReserved!F153,"AAAAADf5/zw=")</f>
        <v>#VALUE!</v>
      </c>
      <c r="BJ14" t="e">
        <f>AND(SpotVsReserved!G153,"AAAAADf5/z0=")</f>
        <v>#VALUE!</v>
      </c>
      <c r="BK14">
        <f>IF(SpotVsReserved!154:154,"AAAAADf5/z4=",0)</f>
        <v>0</v>
      </c>
      <c r="BL14" t="e">
        <f>AND(SpotVsReserved!A154,"AAAAADf5/z8=")</f>
        <v>#VALUE!</v>
      </c>
      <c r="BM14" t="e">
        <f>AND(SpotVsReserved!B154,"AAAAADf5/0A=")</f>
        <v>#VALUE!</v>
      </c>
      <c r="BN14" t="e">
        <f>AND(SpotVsReserved!C154,"AAAAADf5/0E=")</f>
        <v>#VALUE!</v>
      </c>
      <c r="BO14" t="e">
        <f>AND(SpotVsReserved!D154,"AAAAADf5/0I=")</f>
        <v>#VALUE!</v>
      </c>
      <c r="BP14" t="e">
        <f>AND(SpotVsReserved!E154,"AAAAADf5/0M=")</f>
        <v>#VALUE!</v>
      </c>
      <c r="BQ14" t="e">
        <f>AND(SpotVsReserved!F154,"AAAAADf5/0Q=")</f>
        <v>#VALUE!</v>
      </c>
      <c r="BR14" t="e">
        <f>AND(SpotVsReserved!G154,"AAAAADf5/0U=")</f>
        <v>#VALUE!</v>
      </c>
      <c r="BS14">
        <f>IF(SpotVsReserved!155:155,"AAAAADf5/0Y=",0)</f>
        <v>0</v>
      </c>
      <c r="BT14" t="e">
        <f>AND(SpotVsReserved!A155,"AAAAADf5/0c=")</f>
        <v>#VALUE!</v>
      </c>
      <c r="BU14" t="e">
        <f>AND(SpotVsReserved!B155,"AAAAADf5/0g=")</f>
        <v>#VALUE!</v>
      </c>
      <c r="BV14" t="e">
        <f>AND(SpotVsReserved!C155,"AAAAADf5/0k=")</f>
        <v>#VALUE!</v>
      </c>
      <c r="BW14" t="e">
        <f>AND(SpotVsReserved!D155,"AAAAADf5/0o=")</f>
        <v>#VALUE!</v>
      </c>
      <c r="BX14" t="e">
        <f>AND(SpotVsReserved!E155,"AAAAADf5/0s=")</f>
        <v>#VALUE!</v>
      </c>
      <c r="BY14" t="e">
        <f>AND(SpotVsReserved!F155,"AAAAADf5/0w=")</f>
        <v>#VALUE!</v>
      </c>
      <c r="BZ14" t="e">
        <f>AND(SpotVsReserved!G155,"AAAAADf5/00=")</f>
        <v>#VALUE!</v>
      </c>
      <c r="CA14">
        <f>IF(SpotVsReserved!156:156,"AAAAADf5/04=",0)</f>
        <v>0</v>
      </c>
      <c r="CB14" t="e">
        <f>AND(SpotVsReserved!A156,"AAAAADf5/08=")</f>
        <v>#VALUE!</v>
      </c>
      <c r="CC14" t="e">
        <f>AND(SpotVsReserved!B156,"AAAAADf5/1A=")</f>
        <v>#VALUE!</v>
      </c>
      <c r="CD14" t="e">
        <f>AND(SpotVsReserved!C156,"AAAAADf5/1E=")</f>
        <v>#VALUE!</v>
      </c>
      <c r="CE14" t="e">
        <f>AND(SpotVsReserved!D156,"AAAAADf5/1I=")</f>
        <v>#VALUE!</v>
      </c>
      <c r="CF14" t="e">
        <f>AND(SpotVsReserved!E156,"AAAAADf5/1M=")</f>
        <v>#VALUE!</v>
      </c>
      <c r="CG14" t="e">
        <f>AND(SpotVsReserved!F156,"AAAAADf5/1Q=")</f>
        <v>#VALUE!</v>
      </c>
      <c r="CH14" t="e">
        <f>AND(SpotVsReserved!G156,"AAAAADf5/1U=")</f>
        <v>#VALUE!</v>
      </c>
      <c r="CI14">
        <f>IF(SpotVsReserved!157:157,"AAAAADf5/1Y=",0)</f>
        <v>0</v>
      </c>
      <c r="CJ14" t="e">
        <f>AND(SpotVsReserved!A157,"AAAAADf5/1c=")</f>
        <v>#VALUE!</v>
      </c>
      <c r="CK14" t="e">
        <f>AND(SpotVsReserved!B157,"AAAAADf5/1g=")</f>
        <v>#VALUE!</v>
      </c>
      <c r="CL14" t="e">
        <f>AND(SpotVsReserved!C157,"AAAAADf5/1k=")</f>
        <v>#VALUE!</v>
      </c>
      <c r="CM14" t="e">
        <f>AND(SpotVsReserved!D157,"AAAAADf5/1o=")</f>
        <v>#VALUE!</v>
      </c>
      <c r="CN14" t="e">
        <f>AND(SpotVsReserved!E157,"AAAAADf5/1s=")</f>
        <v>#VALUE!</v>
      </c>
      <c r="CO14" t="e">
        <f>AND(SpotVsReserved!F157,"AAAAADf5/1w=")</f>
        <v>#VALUE!</v>
      </c>
      <c r="CP14" t="e">
        <f>AND(SpotVsReserved!G157,"AAAAADf5/10=")</f>
        <v>#VALUE!</v>
      </c>
      <c r="CQ14">
        <f>IF(SpotVsReserved!158:158,"AAAAADf5/14=",0)</f>
        <v>0</v>
      </c>
      <c r="CR14" t="e">
        <f>AND(SpotVsReserved!A158,"AAAAADf5/18=")</f>
        <v>#VALUE!</v>
      </c>
      <c r="CS14" t="e">
        <f>AND(SpotVsReserved!B158,"AAAAADf5/2A=")</f>
        <v>#VALUE!</v>
      </c>
      <c r="CT14" t="e">
        <f>AND(SpotVsReserved!C158,"AAAAADf5/2E=")</f>
        <v>#VALUE!</v>
      </c>
      <c r="CU14" t="e">
        <f>AND(SpotVsReserved!D158,"AAAAADf5/2I=")</f>
        <v>#VALUE!</v>
      </c>
      <c r="CV14" t="e">
        <f>AND(SpotVsReserved!E158,"AAAAADf5/2M=")</f>
        <v>#VALUE!</v>
      </c>
      <c r="CW14" t="e">
        <f>AND(SpotVsReserved!F158,"AAAAADf5/2Q=")</f>
        <v>#VALUE!</v>
      </c>
      <c r="CX14" t="e">
        <f>AND(SpotVsReserved!G158,"AAAAADf5/2U=")</f>
        <v>#VALUE!</v>
      </c>
      <c r="CY14">
        <f>IF(SpotVsReserved!159:159,"AAAAADf5/2Y=",0)</f>
        <v>0</v>
      </c>
      <c r="CZ14" t="e">
        <f>AND(SpotVsReserved!A159,"AAAAADf5/2c=")</f>
        <v>#VALUE!</v>
      </c>
      <c r="DA14" t="e">
        <f>AND(SpotVsReserved!B159,"AAAAADf5/2g=")</f>
        <v>#VALUE!</v>
      </c>
      <c r="DB14" t="e">
        <f>AND(SpotVsReserved!C159,"AAAAADf5/2k=")</f>
        <v>#VALUE!</v>
      </c>
      <c r="DC14" t="e">
        <f>AND(SpotVsReserved!D159,"AAAAADf5/2o=")</f>
        <v>#VALUE!</v>
      </c>
      <c r="DD14" t="e">
        <f>AND(SpotVsReserved!E159,"AAAAADf5/2s=")</f>
        <v>#VALUE!</v>
      </c>
      <c r="DE14" t="e">
        <f>AND(SpotVsReserved!F159,"AAAAADf5/2w=")</f>
        <v>#VALUE!</v>
      </c>
      <c r="DF14" t="e">
        <f>AND(SpotVsReserved!G159,"AAAAADf5/20=")</f>
        <v>#VALUE!</v>
      </c>
      <c r="DG14">
        <f>IF(SpotVsReserved!160:160,"AAAAADf5/24=",0)</f>
        <v>0</v>
      </c>
      <c r="DH14" t="e">
        <f>AND(SpotVsReserved!A160,"AAAAADf5/28=")</f>
        <v>#VALUE!</v>
      </c>
      <c r="DI14" t="e">
        <f>AND(SpotVsReserved!B160,"AAAAADf5/3A=")</f>
        <v>#VALUE!</v>
      </c>
      <c r="DJ14" t="e">
        <f>AND(SpotVsReserved!C160,"AAAAADf5/3E=")</f>
        <v>#VALUE!</v>
      </c>
      <c r="DK14" t="e">
        <f>AND(SpotVsReserved!D160,"AAAAADf5/3I=")</f>
        <v>#VALUE!</v>
      </c>
      <c r="DL14" t="e">
        <f>AND(SpotVsReserved!E160,"AAAAADf5/3M=")</f>
        <v>#VALUE!</v>
      </c>
      <c r="DM14" t="e">
        <f>AND(SpotVsReserved!F160,"AAAAADf5/3Q=")</f>
        <v>#VALUE!</v>
      </c>
      <c r="DN14" t="e">
        <f>AND(SpotVsReserved!G160,"AAAAADf5/3U=")</f>
        <v>#VALUE!</v>
      </c>
      <c r="DO14">
        <f>IF(SpotVsReserved!161:161,"AAAAADf5/3Y=",0)</f>
        <v>0</v>
      </c>
      <c r="DP14" t="e">
        <f>AND(SpotVsReserved!A161,"AAAAADf5/3c=")</f>
        <v>#VALUE!</v>
      </c>
      <c r="DQ14" t="e">
        <f>AND(SpotVsReserved!B161,"AAAAADf5/3g=")</f>
        <v>#VALUE!</v>
      </c>
      <c r="DR14" t="e">
        <f>AND(SpotVsReserved!C161,"AAAAADf5/3k=")</f>
        <v>#VALUE!</v>
      </c>
      <c r="DS14" t="e">
        <f>AND(SpotVsReserved!D161,"AAAAADf5/3o=")</f>
        <v>#VALUE!</v>
      </c>
      <c r="DT14" t="e">
        <f>AND(SpotVsReserved!E161,"AAAAADf5/3s=")</f>
        <v>#VALUE!</v>
      </c>
      <c r="DU14" t="e">
        <f>AND(SpotVsReserved!F161,"AAAAADf5/3w=")</f>
        <v>#VALUE!</v>
      </c>
      <c r="DV14" t="e">
        <f>AND(SpotVsReserved!G161,"AAAAADf5/30=")</f>
        <v>#VALUE!</v>
      </c>
      <c r="DW14">
        <f>IF(SpotVsReserved!162:162,"AAAAADf5/34=",0)</f>
        <v>0</v>
      </c>
      <c r="DX14" t="e">
        <f>AND(SpotVsReserved!A162,"AAAAADf5/38=")</f>
        <v>#VALUE!</v>
      </c>
      <c r="DY14" t="e">
        <f>AND(SpotVsReserved!B162,"AAAAADf5/4A=")</f>
        <v>#VALUE!</v>
      </c>
      <c r="DZ14" t="e">
        <f>AND(SpotVsReserved!C162,"AAAAADf5/4E=")</f>
        <v>#VALUE!</v>
      </c>
      <c r="EA14" t="e">
        <f>AND(SpotVsReserved!D162,"AAAAADf5/4I=")</f>
        <v>#VALUE!</v>
      </c>
      <c r="EB14" t="e">
        <f>AND(SpotVsReserved!E162,"AAAAADf5/4M=")</f>
        <v>#VALUE!</v>
      </c>
      <c r="EC14" t="e">
        <f>AND(SpotVsReserved!F162,"AAAAADf5/4Q=")</f>
        <v>#VALUE!</v>
      </c>
      <c r="ED14" t="e">
        <f>AND(SpotVsReserved!G162,"AAAAADf5/4U=")</f>
        <v>#VALUE!</v>
      </c>
      <c r="EE14">
        <f>IF(SpotVsReserved!163:163,"AAAAADf5/4Y=",0)</f>
        <v>0</v>
      </c>
      <c r="EF14" t="e">
        <f>AND(SpotVsReserved!A163,"AAAAADf5/4c=")</f>
        <v>#VALUE!</v>
      </c>
      <c r="EG14" t="e">
        <f>AND(SpotVsReserved!B163,"AAAAADf5/4g=")</f>
        <v>#VALUE!</v>
      </c>
      <c r="EH14" t="e">
        <f>AND(SpotVsReserved!C163,"AAAAADf5/4k=")</f>
        <v>#VALUE!</v>
      </c>
      <c r="EI14" t="e">
        <f>AND(SpotVsReserved!D163,"AAAAADf5/4o=")</f>
        <v>#VALUE!</v>
      </c>
      <c r="EJ14" t="e">
        <f>AND(SpotVsReserved!E163,"AAAAADf5/4s=")</f>
        <v>#VALUE!</v>
      </c>
      <c r="EK14" t="e">
        <f>AND(SpotVsReserved!F163,"AAAAADf5/4w=")</f>
        <v>#VALUE!</v>
      </c>
      <c r="EL14" t="e">
        <f>AND(SpotVsReserved!G163,"AAAAADf5/40=")</f>
        <v>#VALUE!</v>
      </c>
      <c r="EM14">
        <f>IF(SpotVsReserved!164:164,"AAAAADf5/44=",0)</f>
        <v>0</v>
      </c>
      <c r="EN14" t="e">
        <f>AND(SpotVsReserved!A164,"AAAAADf5/48=")</f>
        <v>#VALUE!</v>
      </c>
      <c r="EO14" t="e">
        <f>AND(SpotVsReserved!B164,"AAAAADf5/5A=")</f>
        <v>#VALUE!</v>
      </c>
      <c r="EP14" t="e">
        <f>AND(SpotVsReserved!C164,"AAAAADf5/5E=")</f>
        <v>#VALUE!</v>
      </c>
      <c r="EQ14" t="e">
        <f>AND(SpotVsReserved!D164,"AAAAADf5/5I=")</f>
        <v>#VALUE!</v>
      </c>
      <c r="ER14" t="e">
        <f>AND(SpotVsReserved!E164,"AAAAADf5/5M=")</f>
        <v>#VALUE!</v>
      </c>
      <c r="ES14" t="e">
        <f>AND(SpotVsReserved!F164,"AAAAADf5/5Q=")</f>
        <v>#VALUE!</v>
      </c>
      <c r="ET14" t="e">
        <f>AND(SpotVsReserved!G164,"AAAAADf5/5U=")</f>
        <v>#VALUE!</v>
      </c>
      <c r="EU14">
        <f>IF(SpotVsReserved!165:165,"AAAAADf5/5Y=",0)</f>
        <v>0</v>
      </c>
      <c r="EV14" t="e">
        <f>AND(SpotVsReserved!A165,"AAAAADf5/5c=")</f>
        <v>#VALUE!</v>
      </c>
      <c r="EW14" t="e">
        <f>AND(SpotVsReserved!B165,"AAAAADf5/5g=")</f>
        <v>#VALUE!</v>
      </c>
      <c r="EX14" t="e">
        <f>AND(SpotVsReserved!C165,"AAAAADf5/5k=")</f>
        <v>#VALUE!</v>
      </c>
      <c r="EY14" t="e">
        <f>AND(SpotVsReserved!D165,"AAAAADf5/5o=")</f>
        <v>#VALUE!</v>
      </c>
      <c r="EZ14" t="e">
        <f>AND(SpotVsReserved!E165,"AAAAADf5/5s=")</f>
        <v>#VALUE!</v>
      </c>
      <c r="FA14" t="e">
        <f>AND(SpotVsReserved!F165,"AAAAADf5/5w=")</f>
        <v>#VALUE!</v>
      </c>
      <c r="FB14" t="e">
        <f>AND(SpotVsReserved!G165,"AAAAADf5/50=")</f>
        <v>#VALUE!</v>
      </c>
      <c r="FC14">
        <f>IF(SpotVsReserved!166:166,"AAAAADf5/54=",0)</f>
        <v>0</v>
      </c>
      <c r="FD14" t="e">
        <f>AND(SpotVsReserved!A166,"AAAAADf5/58=")</f>
        <v>#VALUE!</v>
      </c>
      <c r="FE14" t="e">
        <f>AND(SpotVsReserved!B166,"AAAAADf5/6A=")</f>
        <v>#VALUE!</v>
      </c>
      <c r="FF14" t="e">
        <f>AND(SpotVsReserved!C166,"AAAAADf5/6E=")</f>
        <v>#VALUE!</v>
      </c>
      <c r="FG14" t="e">
        <f>AND(SpotVsReserved!D166,"AAAAADf5/6I=")</f>
        <v>#VALUE!</v>
      </c>
      <c r="FH14" t="e">
        <f>AND(SpotVsReserved!E166,"AAAAADf5/6M=")</f>
        <v>#VALUE!</v>
      </c>
      <c r="FI14" t="e">
        <f>AND(SpotVsReserved!F166,"AAAAADf5/6Q=")</f>
        <v>#VALUE!</v>
      </c>
      <c r="FJ14" t="e">
        <f>AND(SpotVsReserved!G166,"AAAAADf5/6U=")</f>
        <v>#VALUE!</v>
      </c>
      <c r="FK14">
        <f>IF(SpotVsReserved!167:167,"AAAAADf5/6Y=",0)</f>
        <v>0</v>
      </c>
      <c r="FL14" t="e">
        <f>AND(SpotVsReserved!A167,"AAAAADf5/6c=")</f>
        <v>#VALUE!</v>
      </c>
      <c r="FM14" t="e">
        <f>AND(SpotVsReserved!B167,"AAAAADf5/6g=")</f>
        <v>#VALUE!</v>
      </c>
      <c r="FN14" t="e">
        <f>AND(SpotVsReserved!C167,"AAAAADf5/6k=")</f>
        <v>#VALUE!</v>
      </c>
      <c r="FO14" t="e">
        <f>AND(SpotVsReserved!D167,"AAAAADf5/6o=")</f>
        <v>#VALUE!</v>
      </c>
      <c r="FP14" t="e">
        <f>AND(SpotVsReserved!E167,"AAAAADf5/6s=")</f>
        <v>#VALUE!</v>
      </c>
      <c r="FQ14" t="e">
        <f>AND(SpotVsReserved!F167,"AAAAADf5/6w=")</f>
        <v>#VALUE!</v>
      </c>
      <c r="FR14" t="e">
        <f>AND(SpotVsReserved!G167,"AAAAADf5/60=")</f>
        <v>#VALUE!</v>
      </c>
      <c r="FS14">
        <f>IF(SpotVsReserved!168:168,"AAAAADf5/64=",0)</f>
        <v>0</v>
      </c>
      <c r="FT14" t="e">
        <f>AND(SpotVsReserved!A168,"AAAAADf5/68=")</f>
        <v>#VALUE!</v>
      </c>
      <c r="FU14" t="e">
        <f>AND(SpotVsReserved!B168,"AAAAADf5/7A=")</f>
        <v>#VALUE!</v>
      </c>
      <c r="FV14" t="e">
        <f>AND(SpotVsReserved!C168,"AAAAADf5/7E=")</f>
        <v>#VALUE!</v>
      </c>
      <c r="FW14" t="e">
        <f>AND(SpotVsReserved!D168,"AAAAADf5/7I=")</f>
        <v>#VALUE!</v>
      </c>
      <c r="FX14" t="e">
        <f>AND(SpotVsReserved!E168,"AAAAADf5/7M=")</f>
        <v>#VALUE!</v>
      </c>
      <c r="FY14" t="e">
        <f>AND(SpotVsReserved!F168,"AAAAADf5/7Q=")</f>
        <v>#VALUE!</v>
      </c>
      <c r="FZ14" t="e">
        <f>AND(SpotVsReserved!G168,"AAAAADf5/7U=")</f>
        <v>#VALUE!</v>
      </c>
      <c r="GA14">
        <f>IF(SpotVsReserved!169:169,"AAAAADf5/7Y=",0)</f>
        <v>0</v>
      </c>
      <c r="GB14" t="e">
        <f>AND(SpotVsReserved!A169,"AAAAADf5/7c=")</f>
        <v>#VALUE!</v>
      </c>
      <c r="GC14" t="e">
        <f>AND(SpotVsReserved!B169,"AAAAADf5/7g=")</f>
        <v>#VALUE!</v>
      </c>
      <c r="GD14" t="e">
        <f>AND(SpotVsReserved!C169,"AAAAADf5/7k=")</f>
        <v>#VALUE!</v>
      </c>
      <c r="GE14" t="e">
        <f>AND(SpotVsReserved!D169,"AAAAADf5/7o=")</f>
        <v>#VALUE!</v>
      </c>
      <c r="GF14" t="e">
        <f>AND(SpotVsReserved!E169,"AAAAADf5/7s=")</f>
        <v>#VALUE!</v>
      </c>
      <c r="GG14" t="e">
        <f>AND(SpotVsReserved!F169,"AAAAADf5/7w=")</f>
        <v>#VALUE!</v>
      </c>
      <c r="GH14" t="e">
        <f>AND(SpotVsReserved!G169,"AAAAADf5/70=")</f>
        <v>#VALUE!</v>
      </c>
      <c r="GI14">
        <f>IF(SpotVsReserved!170:170,"AAAAADf5/74=",0)</f>
        <v>0</v>
      </c>
      <c r="GJ14" t="e">
        <f>AND(SpotVsReserved!A170,"AAAAADf5/78=")</f>
        <v>#VALUE!</v>
      </c>
      <c r="GK14" t="e">
        <f>AND(SpotVsReserved!B170,"AAAAADf5/8A=")</f>
        <v>#VALUE!</v>
      </c>
      <c r="GL14" t="e">
        <f>AND(SpotVsReserved!C170,"AAAAADf5/8E=")</f>
        <v>#VALUE!</v>
      </c>
      <c r="GM14" t="e">
        <f>AND(SpotVsReserved!D170,"AAAAADf5/8I=")</f>
        <v>#VALUE!</v>
      </c>
      <c r="GN14" t="e">
        <f>AND(SpotVsReserved!E170,"AAAAADf5/8M=")</f>
        <v>#VALUE!</v>
      </c>
      <c r="GO14" t="e">
        <f>AND(SpotVsReserved!F170,"AAAAADf5/8Q=")</f>
        <v>#VALUE!</v>
      </c>
      <c r="GP14" t="e">
        <f>AND(SpotVsReserved!G170,"AAAAADf5/8U=")</f>
        <v>#VALUE!</v>
      </c>
      <c r="GQ14">
        <f>IF(SpotVsReserved!171:171,"AAAAADf5/8Y=",0)</f>
        <v>0</v>
      </c>
      <c r="GR14" t="e">
        <f>AND(SpotVsReserved!A171,"AAAAADf5/8c=")</f>
        <v>#VALUE!</v>
      </c>
      <c r="GS14" t="e">
        <f>AND(SpotVsReserved!B171,"AAAAADf5/8g=")</f>
        <v>#VALUE!</v>
      </c>
      <c r="GT14" t="e">
        <f>AND(SpotVsReserved!C171,"AAAAADf5/8k=")</f>
        <v>#VALUE!</v>
      </c>
      <c r="GU14" t="e">
        <f>AND(SpotVsReserved!D171,"AAAAADf5/8o=")</f>
        <v>#VALUE!</v>
      </c>
      <c r="GV14" t="e">
        <f>AND(SpotVsReserved!E171,"AAAAADf5/8s=")</f>
        <v>#VALUE!</v>
      </c>
      <c r="GW14" t="e">
        <f>AND(SpotVsReserved!F171,"AAAAADf5/8w=")</f>
        <v>#VALUE!</v>
      </c>
      <c r="GX14" t="e">
        <f>AND(SpotVsReserved!G171,"AAAAADf5/80=")</f>
        <v>#VALUE!</v>
      </c>
      <c r="GY14">
        <f>IF(SpotVsReserved!172:172,"AAAAADf5/84=",0)</f>
        <v>0</v>
      </c>
      <c r="GZ14" t="e">
        <f>AND(SpotVsReserved!A172,"AAAAADf5/88=")</f>
        <v>#VALUE!</v>
      </c>
      <c r="HA14" t="e">
        <f>AND(SpotVsReserved!B172,"AAAAADf5/9A=")</f>
        <v>#VALUE!</v>
      </c>
      <c r="HB14" t="e">
        <f>AND(SpotVsReserved!C172,"AAAAADf5/9E=")</f>
        <v>#VALUE!</v>
      </c>
      <c r="HC14" t="e">
        <f>AND(SpotVsReserved!D172,"AAAAADf5/9I=")</f>
        <v>#VALUE!</v>
      </c>
      <c r="HD14" t="e">
        <f>AND(SpotVsReserved!E172,"AAAAADf5/9M=")</f>
        <v>#VALUE!</v>
      </c>
      <c r="HE14" t="e">
        <f>AND(SpotVsReserved!F172,"AAAAADf5/9Q=")</f>
        <v>#VALUE!</v>
      </c>
      <c r="HF14" t="e">
        <f>AND(SpotVsReserved!G172,"AAAAADf5/9U=")</f>
        <v>#VALUE!</v>
      </c>
      <c r="HG14" t="e">
        <f>IF(SpotVsReserved!A:A,"AAAAADf5/9Y=",0)</f>
        <v>#VALUE!</v>
      </c>
      <c r="HH14" t="str">
        <f>IF(SpotVsReserved!B:B,"AAAAADf5/9c=",0)</f>
        <v>AAAAADf5/9c=</v>
      </c>
      <c r="HI14" t="str">
        <f>IF(SpotVsReserved!C:C,"AAAAADf5/9g=",0)</f>
        <v>AAAAADf5/9g=</v>
      </c>
      <c r="HJ14" t="str">
        <f>IF(SpotVsReserved!D:D,"AAAAADf5/9k=",0)</f>
        <v>AAAAADf5/9k=</v>
      </c>
      <c r="HK14" t="str">
        <f>IF(SpotVsReserved!E:E,"AAAAADf5/9o=",0)</f>
        <v>AAAAADf5/9o=</v>
      </c>
      <c r="HL14" t="str">
        <f>IF(SpotVsReserved!F:F,"AAAAADf5/9s=",0)</f>
        <v>AAAAADf5/9s=</v>
      </c>
      <c r="HM14" t="str">
        <f>IF(SpotVsReserved!G:G,"AAAAADf5/9w=",0)</f>
        <v>AAAAADf5/9w=</v>
      </c>
      <c r="HN14">
        <f>IF(OnDemandVsReserved!1:1,"AAAAADf5/90=",0)</f>
        <v>0</v>
      </c>
      <c r="HO14" t="e">
        <f>AND(OnDemandVsReserved!A1,"AAAAADf5/94=")</f>
        <v>#VALUE!</v>
      </c>
      <c r="HP14" t="e">
        <f>AND(OnDemandVsReserved!B1,"AAAAADf5/98=")</f>
        <v>#VALUE!</v>
      </c>
      <c r="HQ14" t="e">
        <f>AND(OnDemandVsReserved!C1,"AAAAADf5/+A=")</f>
        <v>#VALUE!</v>
      </c>
      <c r="HR14" t="e">
        <f>AND(OnDemandVsReserved!D1,"AAAAADf5/+E=")</f>
        <v>#VALUE!</v>
      </c>
      <c r="HS14" t="e">
        <f>AND(OnDemandVsReserved!E1,"AAAAADf5/+I=")</f>
        <v>#VALUE!</v>
      </c>
      <c r="HT14" t="e">
        <f>AND(OnDemandVsReserved!F1,"AAAAADf5/+M=")</f>
        <v>#VALUE!</v>
      </c>
      <c r="HU14" t="e">
        <f>AND(OnDemandVsReserved!G1,"AAAAADf5/+Q=")</f>
        <v>#VALUE!</v>
      </c>
      <c r="HV14" t="e">
        <f>AND(OnDemandVsReserved!H1,"AAAAADf5/+U=")</f>
        <v>#VALUE!</v>
      </c>
      <c r="HW14" t="e">
        <f>AND(OnDemandVsReserved!I1,"AAAAADf5/+Y=")</f>
        <v>#VALUE!</v>
      </c>
      <c r="HX14" t="e">
        <f>AND(OnDemandVsReserved!J1,"AAAAADf5/+c=")</f>
        <v>#VALUE!</v>
      </c>
      <c r="HY14" t="e">
        <f>AND(OnDemandVsReserved!K1,"AAAAADf5/+g=")</f>
        <v>#VALUE!</v>
      </c>
      <c r="HZ14" t="e">
        <f>AND(OnDemandVsReserved!L1,"AAAAADf5/+k=")</f>
        <v>#VALUE!</v>
      </c>
      <c r="IA14" t="e">
        <f>AND(OnDemandVsReserved!M1,"AAAAADf5/+o=")</f>
        <v>#VALUE!</v>
      </c>
      <c r="IB14">
        <f>IF(OnDemandVsReserved!2:2,"AAAAADf5/+s=",0)</f>
        <v>0</v>
      </c>
      <c r="IC14" t="e">
        <f>AND(OnDemandVsReserved!A2,"AAAAADf5/+w=")</f>
        <v>#VALUE!</v>
      </c>
      <c r="ID14" t="e">
        <f>AND(OnDemandVsReserved!B2,"AAAAADf5/+0=")</f>
        <v>#VALUE!</v>
      </c>
      <c r="IE14" t="e">
        <f>AND(OnDemandVsReserved!C2,"AAAAADf5/+4=")</f>
        <v>#VALUE!</v>
      </c>
      <c r="IF14" t="e">
        <f>AND(OnDemandVsReserved!D2,"AAAAADf5/+8=")</f>
        <v>#VALUE!</v>
      </c>
      <c r="IG14" t="e">
        <f>AND(OnDemandVsReserved!E2,"AAAAADf5//A=")</f>
        <v>#VALUE!</v>
      </c>
      <c r="IH14" t="e">
        <f>AND(OnDemandVsReserved!F2,"AAAAADf5//E=")</f>
        <v>#VALUE!</v>
      </c>
      <c r="II14" t="e">
        <f>AND(OnDemandVsReserved!G2,"AAAAADf5//I=")</f>
        <v>#VALUE!</v>
      </c>
      <c r="IJ14" t="e">
        <f>AND(OnDemandVsReserved!H2,"AAAAADf5//M=")</f>
        <v>#VALUE!</v>
      </c>
      <c r="IK14" t="e">
        <f>AND(OnDemandVsReserved!I2,"AAAAADf5//Q=")</f>
        <v>#VALUE!</v>
      </c>
      <c r="IL14" t="e">
        <f>AND(OnDemandVsReserved!J2,"AAAAADf5//U=")</f>
        <v>#VALUE!</v>
      </c>
      <c r="IM14" t="e">
        <f>AND(OnDemandVsReserved!K2,"AAAAADf5//Y=")</f>
        <v>#VALUE!</v>
      </c>
      <c r="IN14" t="e">
        <f>AND(OnDemandVsReserved!L2,"AAAAADf5//c=")</f>
        <v>#VALUE!</v>
      </c>
      <c r="IO14" t="e">
        <f>AND(OnDemandVsReserved!M2,"AAAAADf5//g=")</f>
        <v>#VALUE!</v>
      </c>
      <c r="IP14">
        <f>IF(OnDemandVsReserved!3:3,"AAAAADf5//k=",0)</f>
        <v>0</v>
      </c>
      <c r="IQ14" t="e">
        <f>AND(OnDemandVsReserved!A3,"AAAAADf5//o=")</f>
        <v>#VALUE!</v>
      </c>
      <c r="IR14" t="e">
        <f>AND(OnDemandVsReserved!B3,"AAAAADf5//s=")</f>
        <v>#VALUE!</v>
      </c>
      <c r="IS14" t="e">
        <f>AND(OnDemandVsReserved!C3,"AAAAADf5//w=")</f>
        <v>#VALUE!</v>
      </c>
      <c r="IT14" t="e">
        <f>AND(OnDemandVsReserved!D3,"AAAAADf5//0=")</f>
        <v>#VALUE!</v>
      </c>
      <c r="IU14" t="e">
        <f>AND(OnDemandVsReserved!E3,"AAAAADf5//4=")</f>
        <v>#VALUE!</v>
      </c>
      <c r="IV14" t="e">
        <f>AND(OnDemandVsReserved!F3,"AAAAADf5//8=")</f>
        <v>#VALUE!</v>
      </c>
    </row>
    <row r="15" spans="1:256" x14ac:dyDescent="0.25">
      <c r="A15" t="e">
        <f>AND(OnDemandVsReserved!G3,"AAAAAHp8fwA=")</f>
        <v>#VALUE!</v>
      </c>
      <c r="B15" t="e">
        <f>AND(OnDemandVsReserved!H3,"AAAAAHp8fwE=")</f>
        <v>#VALUE!</v>
      </c>
      <c r="C15" t="e">
        <f>AND(OnDemandVsReserved!I3,"AAAAAHp8fwI=")</f>
        <v>#VALUE!</v>
      </c>
      <c r="D15" t="e">
        <f>AND(OnDemandVsReserved!J3,"AAAAAHp8fwM=")</f>
        <v>#VALUE!</v>
      </c>
      <c r="E15" t="e">
        <f>AND(OnDemandVsReserved!K3,"AAAAAHp8fwQ=")</f>
        <v>#VALUE!</v>
      </c>
      <c r="F15" t="e">
        <f>AND(OnDemandVsReserved!L3,"AAAAAHp8fwU=")</f>
        <v>#VALUE!</v>
      </c>
      <c r="G15" t="e">
        <f>AND(OnDemandVsReserved!M3,"AAAAAHp8fwY=")</f>
        <v>#VALUE!</v>
      </c>
      <c r="H15">
        <f>IF(OnDemandVsReserved!4:4,"AAAAAHp8fwc=",0)</f>
        <v>0</v>
      </c>
      <c r="I15" t="e">
        <f>AND(OnDemandVsReserved!A4,"AAAAAHp8fwg=")</f>
        <v>#VALUE!</v>
      </c>
      <c r="J15" t="e">
        <f>AND(OnDemandVsReserved!B4,"AAAAAHp8fwk=")</f>
        <v>#VALUE!</v>
      </c>
      <c r="K15" t="e">
        <f>AND(OnDemandVsReserved!C4,"AAAAAHp8fwo=")</f>
        <v>#VALUE!</v>
      </c>
      <c r="L15" t="e">
        <f>AND(OnDemandVsReserved!D4,"AAAAAHp8fws=")</f>
        <v>#VALUE!</v>
      </c>
      <c r="M15" t="e">
        <f>AND(OnDemandVsReserved!E4,"AAAAAHp8fww=")</f>
        <v>#VALUE!</v>
      </c>
      <c r="N15" t="e">
        <f>AND(OnDemandVsReserved!F4,"AAAAAHp8fw0=")</f>
        <v>#VALUE!</v>
      </c>
      <c r="O15" t="e">
        <f>AND(OnDemandVsReserved!G4,"AAAAAHp8fw4=")</f>
        <v>#VALUE!</v>
      </c>
      <c r="P15" t="e">
        <f>AND(OnDemandVsReserved!H4,"AAAAAHp8fw8=")</f>
        <v>#VALUE!</v>
      </c>
      <c r="Q15" t="e">
        <f>AND(OnDemandVsReserved!I4,"AAAAAHp8fxA=")</f>
        <v>#VALUE!</v>
      </c>
      <c r="R15" t="e">
        <f>AND(OnDemandVsReserved!J4,"AAAAAHp8fxE=")</f>
        <v>#VALUE!</v>
      </c>
      <c r="S15" t="e">
        <f>AND(OnDemandVsReserved!K4,"AAAAAHp8fxI=")</f>
        <v>#VALUE!</v>
      </c>
      <c r="T15" t="e">
        <f>AND(OnDemandVsReserved!L4,"AAAAAHp8fxM=")</f>
        <v>#VALUE!</v>
      </c>
      <c r="U15" t="e">
        <f>AND(OnDemandVsReserved!M4,"AAAAAHp8fxQ=")</f>
        <v>#VALUE!</v>
      </c>
      <c r="V15">
        <f>IF(OnDemandVsReserved!5:5,"AAAAAHp8fxU=",0)</f>
        <v>0</v>
      </c>
      <c r="W15" t="e">
        <f>AND(OnDemandVsReserved!A5,"AAAAAHp8fxY=")</f>
        <v>#VALUE!</v>
      </c>
      <c r="X15" t="e">
        <f>AND(OnDemandVsReserved!B5,"AAAAAHp8fxc=")</f>
        <v>#VALUE!</v>
      </c>
      <c r="Y15" t="e">
        <f>AND(OnDemandVsReserved!C5,"AAAAAHp8fxg=")</f>
        <v>#VALUE!</v>
      </c>
      <c r="Z15" t="e">
        <f>AND(OnDemandVsReserved!D5,"AAAAAHp8fxk=")</f>
        <v>#VALUE!</v>
      </c>
      <c r="AA15" t="e">
        <f>AND(OnDemandVsReserved!E5,"AAAAAHp8fxo=")</f>
        <v>#VALUE!</v>
      </c>
      <c r="AB15" t="e">
        <f>AND(OnDemandVsReserved!F5,"AAAAAHp8fxs=")</f>
        <v>#VALUE!</v>
      </c>
      <c r="AC15" t="e">
        <f>AND(OnDemandVsReserved!G5,"AAAAAHp8fxw=")</f>
        <v>#VALUE!</v>
      </c>
      <c r="AD15" t="e">
        <f>AND(OnDemandVsReserved!H5,"AAAAAHp8fx0=")</f>
        <v>#VALUE!</v>
      </c>
      <c r="AE15" t="e">
        <f>AND(OnDemandVsReserved!I5,"AAAAAHp8fx4=")</f>
        <v>#VALUE!</v>
      </c>
      <c r="AF15" t="e">
        <f>AND(OnDemandVsReserved!J5,"AAAAAHp8fx8=")</f>
        <v>#VALUE!</v>
      </c>
      <c r="AG15" t="e">
        <f>AND(OnDemandVsReserved!K5,"AAAAAHp8fyA=")</f>
        <v>#VALUE!</v>
      </c>
      <c r="AH15" t="e">
        <f>AND(OnDemandVsReserved!L5,"AAAAAHp8fyE=")</f>
        <v>#VALUE!</v>
      </c>
      <c r="AI15" t="e">
        <f>AND(OnDemandVsReserved!M5,"AAAAAHp8fyI=")</f>
        <v>#VALUE!</v>
      </c>
      <c r="AJ15">
        <f>IF(OnDemandVsReserved!6:6,"AAAAAHp8fyM=",0)</f>
        <v>0</v>
      </c>
      <c r="AK15" t="e">
        <f>AND(OnDemandVsReserved!A6,"AAAAAHp8fyQ=")</f>
        <v>#VALUE!</v>
      </c>
      <c r="AL15" t="e">
        <f>AND(OnDemandVsReserved!B6,"AAAAAHp8fyU=")</f>
        <v>#VALUE!</v>
      </c>
      <c r="AM15" t="e">
        <f>AND(OnDemandVsReserved!C6,"AAAAAHp8fyY=")</f>
        <v>#VALUE!</v>
      </c>
      <c r="AN15" t="e">
        <f>AND(OnDemandVsReserved!D6,"AAAAAHp8fyc=")</f>
        <v>#VALUE!</v>
      </c>
      <c r="AO15" t="e">
        <f>AND(OnDemandVsReserved!E6,"AAAAAHp8fyg=")</f>
        <v>#VALUE!</v>
      </c>
      <c r="AP15" t="e">
        <f>AND(OnDemandVsReserved!F6,"AAAAAHp8fyk=")</f>
        <v>#VALUE!</v>
      </c>
      <c r="AQ15" t="e">
        <f>AND(OnDemandVsReserved!G6,"AAAAAHp8fyo=")</f>
        <v>#VALUE!</v>
      </c>
      <c r="AR15" t="e">
        <f>AND(OnDemandVsReserved!H6,"AAAAAHp8fys=")</f>
        <v>#VALUE!</v>
      </c>
      <c r="AS15" t="e">
        <f>AND(OnDemandVsReserved!I6,"AAAAAHp8fyw=")</f>
        <v>#VALUE!</v>
      </c>
      <c r="AT15" t="e">
        <f>AND(OnDemandVsReserved!J6,"AAAAAHp8fy0=")</f>
        <v>#VALUE!</v>
      </c>
      <c r="AU15" t="e">
        <f>AND(OnDemandVsReserved!K6,"AAAAAHp8fy4=")</f>
        <v>#VALUE!</v>
      </c>
      <c r="AV15" t="e">
        <f>AND(OnDemandVsReserved!L6,"AAAAAHp8fy8=")</f>
        <v>#VALUE!</v>
      </c>
      <c r="AW15" t="e">
        <f>AND(OnDemandVsReserved!M6,"AAAAAHp8fzA=")</f>
        <v>#VALUE!</v>
      </c>
      <c r="AX15">
        <f>IF(OnDemandVsReserved!7:7,"AAAAAHp8fzE=",0)</f>
        <v>0</v>
      </c>
      <c r="AY15" t="e">
        <f>AND(OnDemandVsReserved!A7,"AAAAAHp8fzI=")</f>
        <v>#VALUE!</v>
      </c>
      <c r="AZ15" t="e">
        <f>AND(OnDemandVsReserved!B7,"AAAAAHp8fzM=")</f>
        <v>#VALUE!</v>
      </c>
      <c r="BA15" t="e">
        <f>AND(OnDemandVsReserved!C7,"AAAAAHp8fzQ=")</f>
        <v>#VALUE!</v>
      </c>
      <c r="BB15" t="e">
        <f>AND(OnDemandVsReserved!D7,"AAAAAHp8fzU=")</f>
        <v>#VALUE!</v>
      </c>
      <c r="BC15" t="e">
        <f>AND(OnDemandVsReserved!E7,"AAAAAHp8fzY=")</f>
        <v>#VALUE!</v>
      </c>
      <c r="BD15" t="e">
        <f>AND(OnDemandVsReserved!F7,"AAAAAHp8fzc=")</f>
        <v>#VALUE!</v>
      </c>
      <c r="BE15" t="e">
        <f>AND(OnDemandVsReserved!G7,"AAAAAHp8fzg=")</f>
        <v>#VALUE!</v>
      </c>
      <c r="BF15" t="e">
        <f>AND(OnDemandVsReserved!H7,"AAAAAHp8fzk=")</f>
        <v>#VALUE!</v>
      </c>
      <c r="BG15" t="e">
        <f>AND(OnDemandVsReserved!I7,"AAAAAHp8fzo=")</f>
        <v>#VALUE!</v>
      </c>
      <c r="BH15" t="e">
        <f>AND(OnDemandVsReserved!J7,"AAAAAHp8fzs=")</f>
        <v>#VALUE!</v>
      </c>
      <c r="BI15" t="e">
        <f>AND(OnDemandVsReserved!K7,"AAAAAHp8fzw=")</f>
        <v>#VALUE!</v>
      </c>
      <c r="BJ15" t="e">
        <f>AND(OnDemandVsReserved!L7,"AAAAAHp8fz0=")</f>
        <v>#VALUE!</v>
      </c>
      <c r="BK15" t="e">
        <f>AND(OnDemandVsReserved!M7,"AAAAAHp8fz4=")</f>
        <v>#VALUE!</v>
      </c>
      <c r="BL15">
        <f>IF(OnDemandVsReserved!8:8,"AAAAAHp8fz8=",0)</f>
        <v>0</v>
      </c>
      <c r="BM15" t="e">
        <f>AND(OnDemandVsReserved!A8,"AAAAAHp8f0A=")</f>
        <v>#VALUE!</v>
      </c>
      <c r="BN15" t="e">
        <f>AND(OnDemandVsReserved!B8,"AAAAAHp8f0E=")</f>
        <v>#VALUE!</v>
      </c>
      <c r="BO15" t="e">
        <f>AND(OnDemandVsReserved!C8,"AAAAAHp8f0I=")</f>
        <v>#VALUE!</v>
      </c>
      <c r="BP15" t="e">
        <f>AND(OnDemandVsReserved!D8,"AAAAAHp8f0M=")</f>
        <v>#VALUE!</v>
      </c>
      <c r="BQ15" t="e">
        <f>AND(OnDemandVsReserved!E8,"AAAAAHp8f0Q=")</f>
        <v>#VALUE!</v>
      </c>
      <c r="BR15" t="e">
        <f>AND(OnDemandVsReserved!F8,"AAAAAHp8f0U=")</f>
        <v>#VALUE!</v>
      </c>
      <c r="BS15" t="e">
        <f>AND(OnDemandVsReserved!G8,"AAAAAHp8f0Y=")</f>
        <v>#VALUE!</v>
      </c>
      <c r="BT15" t="e">
        <f>AND(OnDemandVsReserved!H8,"AAAAAHp8f0c=")</f>
        <v>#VALUE!</v>
      </c>
      <c r="BU15" t="e">
        <f>AND(OnDemandVsReserved!I8,"AAAAAHp8f0g=")</f>
        <v>#VALUE!</v>
      </c>
      <c r="BV15" t="e">
        <f>AND(OnDemandVsReserved!J8,"AAAAAHp8f0k=")</f>
        <v>#VALUE!</v>
      </c>
      <c r="BW15" t="e">
        <f>AND(OnDemandVsReserved!K8,"AAAAAHp8f0o=")</f>
        <v>#VALUE!</v>
      </c>
      <c r="BX15" t="e">
        <f>AND(OnDemandVsReserved!L8,"AAAAAHp8f0s=")</f>
        <v>#VALUE!</v>
      </c>
      <c r="BY15" t="e">
        <f>AND(OnDemandVsReserved!M8,"AAAAAHp8f0w=")</f>
        <v>#VALUE!</v>
      </c>
      <c r="BZ15">
        <f>IF(OnDemandVsReserved!9:9,"AAAAAHp8f00=",0)</f>
        <v>0</v>
      </c>
      <c r="CA15" t="e">
        <f>AND(OnDemandVsReserved!A9,"AAAAAHp8f04=")</f>
        <v>#VALUE!</v>
      </c>
      <c r="CB15" t="e">
        <f>AND(OnDemandVsReserved!B9,"AAAAAHp8f08=")</f>
        <v>#VALUE!</v>
      </c>
      <c r="CC15" t="e">
        <f>AND(OnDemandVsReserved!C9,"AAAAAHp8f1A=")</f>
        <v>#VALUE!</v>
      </c>
      <c r="CD15" t="e">
        <f>AND(OnDemandVsReserved!D9,"AAAAAHp8f1E=")</f>
        <v>#VALUE!</v>
      </c>
      <c r="CE15" t="e">
        <f>AND(OnDemandVsReserved!E9,"AAAAAHp8f1I=")</f>
        <v>#VALUE!</v>
      </c>
      <c r="CF15" t="e">
        <f>AND(OnDemandVsReserved!F9,"AAAAAHp8f1M=")</f>
        <v>#VALUE!</v>
      </c>
      <c r="CG15" t="e">
        <f>AND(OnDemandVsReserved!G9,"AAAAAHp8f1Q=")</f>
        <v>#VALUE!</v>
      </c>
      <c r="CH15" t="e">
        <f>AND(OnDemandVsReserved!H9,"AAAAAHp8f1U=")</f>
        <v>#VALUE!</v>
      </c>
      <c r="CI15" t="e">
        <f>AND(OnDemandVsReserved!I9,"AAAAAHp8f1Y=")</f>
        <v>#VALUE!</v>
      </c>
      <c r="CJ15" t="e">
        <f>AND(OnDemandVsReserved!J9,"AAAAAHp8f1c=")</f>
        <v>#VALUE!</v>
      </c>
      <c r="CK15" t="e">
        <f>AND(OnDemandVsReserved!K9,"AAAAAHp8f1g=")</f>
        <v>#VALUE!</v>
      </c>
      <c r="CL15" t="e">
        <f>AND(OnDemandVsReserved!L9,"AAAAAHp8f1k=")</f>
        <v>#VALUE!</v>
      </c>
      <c r="CM15" t="e">
        <f>AND(OnDemandVsReserved!M9,"AAAAAHp8f1o=")</f>
        <v>#VALUE!</v>
      </c>
      <c r="CN15">
        <f>IF(OnDemandVsReserved!10:10,"AAAAAHp8f1s=",0)</f>
        <v>0</v>
      </c>
      <c r="CO15" t="e">
        <f>AND(OnDemandVsReserved!A10,"AAAAAHp8f1w=")</f>
        <v>#VALUE!</v>
      </c>
      <c r="CP15" t="e">
        <f>AND(OnDemandVsReserved!B10,"AAAAAHp8f10=")</f>
        <v>#VALUE!</v>
      </c>
      <c r="CQ15" t="e">
        <f>AND(OnDemandVsReserved!C10,"AAAAAHp8f14=")</f>
        <v>#VALUE!</v>
      </c>
      <c r="CR15" t="e">
        <f>AND(OnDemandVsReserved!D10,"AAAAAHp8f18=")</f>
        <v>#VALUE!</v>
      </c>
      <c r="CS15" t="e">
        <f>AND(OnDemandVsReserved!E10,"AAAAAHp8f2A=")</f>
        <v>#VALUE!</v>
      </c>
      <c r="CT15" t="e">
        <f>AND(OnDemandVsReserved!F10,"AAAAAHp8f2E=")</f>
        <v>#VALUE!</v>
      </c>
      <c r="CU15" t="e">
        <f>AND(OnDemandVsReserved!G10,"AAAAAHp8f2I=")</f>
        <v>#VALUE!</v>
      </c>
      <c r="CV15" t="e">
        <f>AND(OnDemandVsReserved!H10,"AAAAAHp8f2M=")</f>
        <v>#VALUE!</v>
      </c>
      <c r="CW15" t="e">
        <f>AND(OnDemandVsReserved!I10,"AAAAAHp8f2Q=")</f>
        <v>#VALUE!</v>
      </c>
      <c r="CX15" t="e">
        <f>AND(OnDemandVsReserved!J10,"AAAAAHp8f2U=")</f>
        <v>#VALUE!</v>
      </c>
      <c r="CY15" t="e">
        <f>AND(OnDemandVsReserved!K10,"AAAAAHp8f2Y=")</f>
        <v>#VALUE!</v>
      </c>
      <c r="CZ15" t="e">
        <f>AND(OnDemandVsReserved!L10,"AAAAAHp8f2c=")</f>
        <v>#VALUE!</v>
      </c>
      <c r="DA15" t="e">
        <f>AND(OnDemandVsReserved!M10,"AAAAAHp8f2g=")</f>
        <v>#VALUE!</v>
      </c>
      <c r="DB15">
        <f>IF(OnDemandVsReserved!11:11,"AAAAAHp8f2k=",0)</f>
        <v>0</v>
      </c>
      <c r="DC15" t="e">
        <f>AND(OnDemandVsReserved!A11,"AAAAAHp8f2o=")</f>
        <v>#VALUE!</v>
      </c>
      <c r="DD15" t="e">
        <f>AND(OnDemandVsReserved!B11,"AAAAAHp8f2s=")</f>
        <v>#VALUE!</v>
      </c>
      <c r="DE15" t="e">
        <f>AND(OnDemandVsReserved!C11,"AAAAAHp8f2w=")</f>
        <v>#VALUE!</v>
      </c>
      <c r="DF15" t="e">
        <f>AND(OnDemandVsReserved!D11,"AAAAAHp8f20=")</f>
        <v>#VALUE!</v>
      </c>
      <c r="DG15" t="e">
        <f>AND(OnDemandVsReserved!E11,"AAAAAHp8f24=")</f>
        <v>#VALUE!</v>
      </c>
      <c r="DH15" t="e">
        <f>AND(OnDemandVsReserved!F11,"AAAAAHp8f28=")</f>
        <v>#VALUE!</v>
      </c>
      <c r="DI15" t="e">
        <f>AND(OnDemandVsReserved!G11,"AAAAAHp8f3A=")</f>
        <v>#VALUE!</v>
      </c>
      <c r="DJ15" t="e">
        <f>AND(OnDemandVsReserved!H11,"AAAAAHp8f3E=")</f>
        <v>#VALUE!</v>
      </c>
      <c r="DK15" t="e">
        <f>AND(OnDemandVsReserved!I11,"AAAAAHp8f3I=")</f>
        <v>#VALUE!</v>
      </c>
      <c r="DL15" t="e">
        <f>AND(OnDemandVsReserved!J11,"AAAAAHp8f3M=")</f>
        <v>#VALUE!</v>
      </c>
      <c r="DM15" t="e">
        <f>AND(OnDemandVsReserved!K11,"AAAAAHp8f3Q=")</f>
        <v>#VALUE!</v>
      </c>
      <c r="DN15" t="e">
        <f>AND(OnDemandVsReserved!L11,"AAAAAHp8f3U=")</f>
        <v>#VALUE!</v>
      </c>
      <c r="DO15" t="e">
        <f>AND(OnDemandVsReserved!M11,"AAAAAHp8f3Y=")</f>
        <v>#VALUE!</v>
      </c>
      <c r="DP15">
        <f>IF(OnDemandVsReserved!12:12,"AAAAAHp8f3c=",0)</f>
        <v>0</v>
      </c>
      <c r="DQ15" t="e">
        <f>AND(OnDemandVsReserved!A12,"AAAAAHp8f3g=")</f>
        <v>#VALUE!</v>
      </c>
      <c r="DR15" t="e">
        <f>AND(OnDemandVsReserved!B12,"AAAAAHp8f3k=")</f>
        <v>#VALUE!</v>
      </c>
      <c r="DS15" t="e">
        <f>AND(OnDemandVsReserved!C12,"AAAAAHp8f3o=")</f>
        <v>#VALUE!</v>
      </c>
      <c r="DT15" t="e">
        <f>AND(OnDemandVsReserved!D12,"AAAAAHp8f3s=")</f>
        <v>#VALUE!</v>
      </c>
      <c r="DU15" t="e">
        <f>AND(OnDemandVsReserved!E12,"AAAAAHp8f3w=")</f>
        <v>#VALUE!</v>
      </c>
      <c r="DV15" t="e">
        <f>AND(OnDemandVsReserved!F12,"AAAAAHp8f30=")</f>
        <v>#VALUE!</v>
      </c>
      <c r="DW15" t="e">
        <f>AND(OnDemandVsReserved!G12,"AAAAAHp8f34=")</f>
        <v>#VALUE!</v>
      </c>
      <c r="DX15" t="e">
        <f>AND(OnDemandVsReserved!H12,"AAAAAHp8f38=")</f>
        <v>#VALUE!</v>
      </c>
      <c r="DY15" t="e">
        <f>AND(OnDemandVsReserved!I12,"AAAAAHp8f4A=")</f>
        <v>#VALUE!</v>
      </c>
      <c r="DZ15" t="e">
        <f>AND(OnDemandVsReserved!J12,"AAAAAHp8f4E=")</f>
        <v>#VALUE!</v>
      </c>
      <c r="EA15" t="e">
        <f>AND(OnDemandVsReserved!K12,"AAAAAHp8f4I=")</f>
        <v>#VALUE!</v>
      </c>
      <c r="EB15" t="e">
        <f>AND(OnDemandVsReserved!L12,"AAAAAHp8f4M=")</f>
        <v>#VALUE!</v>
      </c>
      <c r="EC15" t="e">
        <f>AND(OnDemandVsReserved!M12,"AAAAAHp8f4Q=")</f>
        <v>#VALUE!</v>
      </c>
      <c r="ED15">
        <f>IF(OnDemandVsReserved!13:13,"AAAAAHp8f4U=",0)</f>
        <v>0</v>
      </c>
      <c r="EE15" t="e">
        <f>AND(OnDemandVsReserved!A13,"AAAAAHp8f4Y=")</f>
        <v>#VALUE!</v>
      </c>
      <c r="EF15" t="e">
        <f>AND(OnDemandVsReserved!B13,"AAAAAHp8f4c=")</f>
        <v>#VALUE!</v>
      </c>
      <c r="EG15" t="e">
        <f>AND(OnDemandVsReserved!C13,"AAAAAHp8f4g=")</f>
        <v>#VALUE!</v>
      </c>
      <c r="EH15" t="e">
        <f>AND(OnDemandVsReserved!D13,"AAAAAHp8f4k=")</f>
        <v>#VALUE!</v>
      </c>
      <c r="EI15" t="e">
        <f>AND(OnDemandVsReserved!E13,"AAAAAHp8f4o=")</f>
        <v>#VALUE!</v>
      </c>
      <c r="EJ15" t="e">
        <f>AND(OnDemandVsReserved!F13,"AAAAAHp8f4s=")</f>
        <v>#VALUE!</v>
      </c>
      <c r="EK15" t="e">
        <f>AND(OnDemandVsReserved!G13,"AAAAAHp8f4w=")</f>
        <v>#VALUE!</v>
      </c>
      <c r="EL15" t="e">
        <f>AND(OnDemandVsReserved!H13,"AAAAAHp8f40=")</f>
        <v>#VALUE!</v>
      </c>
      <c r="EM15" t="e">
        <f>AND(OnDemandVsReserved!I13,"AAAAAHp8f44=")</f>
        <v>#VALUE!</v>
      </c>
      <c r="EN15" t="e">
        <f>AND(OnDemandVsReserved!J13,"AAAAAHp8f48=")</f>
        <v>#VALUE!</v>
      </c>
      <c r="EO15" t="e">
        <f>AND(OnDemandVsReserved!K13,"AAAAAHp8f5A=")</f>
        <v>#VALUE!</v>
      </c>
      <c r="EP15" t="e">
        <f>AND(OnDemandVsReserved!L13,"AAAAAHp8f5E=")</f>
        <v>#VALUE!</v>
      </c>
      <c r="EQ15" t="e">
        <f>AND(OnDemandVsReserved!M13,"AAAAAHp8f5I=")</f>
        <v>#VALUE!</v>
      </c>
      <c r="ER15">
        <f>IF(OnDemandVsReserved!14:14,"AAAAAHp8f5M=",0)</f>
        <v>0</v>
      </c>
      <c r="ES15" t="e">
        <f>AND(OnDemandVsReserved!A14,"AAAAAHp8f5Q=")</f>
        <v>#VALUE!</v>
      </c>
      <c r="ET15" t="e">
        <f>AND(OnDemandVsReserved!B14,"AAAAAHp8f5U=")</f>
        <v>#VALUE!</v>
      </c>
      <c r="EU15" t="e">
        <f>AND(OnDemandVsReserved!C14,"AAAAAHp8f5Y=")</f>
        <v>#VALUE!</v>
      </c>
      <c r="EV15" t="e">
        <f>AND(OnDemandVsReserved!D14,"AAAAAHp8f5c=")</f>
        <v>#VALUE!</v>
      </c>
      <c r="EW15" t="e">
        <f>AND(OnDemandVsReserved!E14,"AAAAAHp8f5g=")</f>
        <v>#VALUE!</v>
      </c>
      <c r="EX15" t="e">
        <f>AND(OnDemandVsReserved!F14,"AAAAAHp8f5k=")</f>
        <v>#VALUE!</v>
      </c>
      <c r="EY15" t="e">
        <f>AND(OnDemandVsReserved!G14,"AAAAAHp8f5o=")</f>
        <v>#VALUE!</v>
      </c>
      <c r="EZ15" t="e">
        <f>AND(OnDemandVsReserved!H14,"AAAAAHp8f5s=")</f>
        <v>#VALUE!</v>
      </c>
      <c r="FA15" t="e">
        <f>AND(OnDemandVsReserved!I14,"AAAAAHp8f5w=")</f>
        <v>#VALUE!</v>
      </c>
      <c r="FB15" t="e">
        <f>AND(OnDemandVsReserved!J14,"AAAAAHp8f50=")</f>
        <v>#VALUE!</v>
      </c>
      <c r="FC15" t="e">
        <f>AND(OnDemandVsReserved!K14,"AAAAAHp8f54=")</f>
        <v>#VALUE!</v>
      </c>
      <c r="FD15" t="e">
        <f>AND(OnDemandVsReserved!L14,"AAAAAHp8f58=")</f>
        <v>#VALUE!</v>
      </c>
      <c r="FE15" t="e">
        <f>AND(OnDemandVsReserved!M14,"AAAAAHp8f6A=")</f>
        <v>#VALUE!</v>
      </c>
      <c r="FF15">
        <f>IF(OnDemandVsReserved!15:15,"AAAAAHp8f6E=",0)</f>
        <v>0</v>
      </c>
      <c r="FG15" t="e">
        <f>AND(OnDemandVsReserved!A15,"AAAAAHp8f6I=")</f>
        <v>#VALUE!</v>
      </c>
      <c r="FH15" t="e">
        <f>AND(OnDemandVsReserved!B15,"AAAAAHp8f6M=")</f>
        <v>#VALUE!</v>
      </c>
      <c r="FI15" t="e">
        <f>AND(OnDemandVsReserved!C15,"AAAAAHp8f6Q=")</f>
        <v>#VALUE!</v>
      </c>
      <c r="FJ15" t="e">
        <f>AND(OnDemandVsReserved!D15,"AAAAAHp8f6U=")</f>
        <v>#VALUE!</v>
      </c>
      <c r="FK15" t="e">
        <f>AND(OnDemandVsReserved!E15,"AAAAAHp8f6Y=")</f>
        <v>#VALUE!</v>
      </c>
      <c r="FL15" t="e">
        <f>AND(OnDemandVsReserved!F15,"AAAAAHp8f6c=")</f>
        <v>#VALUE!</v>
      </c>
      <c r="FM15" t="e">
        <f>AND(OnDemandVsReserved!G15,"AAAAAHp8f6g=")</f>
        <v>#VALUE!</v>
      </c>
      <c r="FN15" t="e">
        <f>AND(OnDemandVsReserved!H15,"AAAAAHp8f6k=")</f>
        <v>#VALUE!</v>
      </c>
      <c r="FO15" t="e">
        <f>AND(OnDemandVsReserved!I15,"AAAAAHp8f6o=")</f>
        <v>#VALUE!</v>
      </c>
      <c r="FP15" t="e">
        <f>AND(OnDemandVsReserved!J15,"AAAAAHp8f6s=")</f>
        <v>#VALUE!</v>
      </c>
      <c r="FQ15" t="e">
        <f>AND(OnDemandVsReserved!K15,"AAAAAHp8f6w=")</f>
        <v>#VALUE!</v>
      </c>
      <c r="FR15" t="e">
        <f>AND(OnDemandVsReserved!L15,"AAAAAHp8f60=")</f>
        <v>#VALUE!</v>
      </c>
      <c r="FS15" t="e">
        <f>AND(OnDemandVsReserved!M15,"AAAAAHp8f64=")</f>
        <v>#VALUE!</v>
      </c>
      <c r="FT15">
        <f>IF(OnDemandVsReserved!16:16,"AAAAAHp8f68=",0)</f>
        <v>0</v>
      </c>
      <c r="FU15" t="e">
        <f>AND(OnDemandVsReserved!A16,"AAAAAHp8f7A=")</f>
        <v>#VALUE!</v>
      </c>
      <c r="FV15" t="e">
        <f>AND(OnDemandVsReserved!B16,"AAAAAHp8f7E=")</f>
        <v>#VALUE!</v>
      </c>
      <c r="FW15" t="e">
        <f>AND(OnDemandVsReserved!C16,"AAAAAHp8f7I=")</f>
        <v>#VALUE!</v>
      </c>
      <c r="FX15" t="e">
        <f>AND(OnDemandVsReserved!D16,"AAAAAHp8f7M=")</f>
        <v>#VALUE!</v>
      </c>
      <c r="FY15" t="e">
        <f>AND(OnDemandVsReserved!E16,"AAAAAHp8f7Q=")</f>
        <v>#VALUE!</v>
      </c>
      <c r="FZ15" t="e">
        <f>AND(OnDemandVsReserved!F16,"AAAAAHp8f7U=")</f>
        <v>#VALUE!</v>
      </c>
      <c r="GA15" t="e">
        <f>AND(OnDemandVsReserved!G16,"AAAAAHp8f7Y=")</f>
        <v>#VALUE!</v>
      </c>
      <c r="GB15" t="e">
        <f>AND(OnDemandVsReserved!H16,"AAAAAHp8f7c=")</f>
        <v>#VALUE!</v>
      </c>
      <c r="GC15" t="e">
        <f>AND(OnDemandVsReserved!I16,"AAAAAHp8f7g=")</f>
        <v>#VALUE!</v>
      </c>
      <c r="GD15" t="e">
        <f>AND(OnDemandVsReserved!J16,"AAAAAHp8f7k=")</f>
        <v>#VALUE!</v>
      </c>
      <c r="GE15" t="e">
        <f>AND(OnDemandVsReserved!K16,"AAAAAHp8f7o=")</f>
        <v>#VALUE!</v>
      </c>
      <c r="GF15" t="e">
        <f>AND(OnDemandVsReserved!L16,"AAAAAHp8f7s=")</f>
        <v>#VALUE!</v>
      </c>
      <c r="GG15" t="e">
        <f>AND(OnDemandVsReserved!M16,"AAAAAHp8f7w=")</f>
        <v>#VALUE!</v>
      </c>
      <c r="GH15">
        <f>IF(OnDemandVsReserved!17:17,"AAAAAHp8f70=",0)</f>
        <v>0</v>
      </c>
      <c r="GI15" t="e">
        <f>AND(OnDemandVsReserved!A17,"AAAAAHp8f74=")</f>
        <v>#VALUE!</v>
      </c>
      <c r="GJ15" t="e">
        <f>AND(OnDemandVsReserved!B17,"AAAAAHp8f78=")</f>
        <v>#VALUE!</v>
      </c>
      <c r="GK15" t="e">
        <f>AND(OnDemandVsReserved!C17,"AAAAAHp8f8A=")</f>
        <v>#VALUE!</v>
      </c>
      <c r="GL15" t="e">
        <f>AND(OnDemandVsReserved!D17,"AAAAAHp8f8E=")</f>
        <v>#VALUE!</v>
      </c>
      <c r="GM15" t="e">
        <f>AND(OnDemandVsReserved!E17,"AAAAAHp8f8I=")</f>
        <v>#VALUE!</v>
      </c>
      <c r="GN15" t="e">
        <f>AND(OnDemandVsReserved!F17,"AAAAAHp8f8M=")</f>
        <v>#VALUE!</v>
      </c>
      <c r="GO15" t="e">
        <f>AND(OnDemandVsReserved!G17,"AAAAAHp8f8Q=")</f>
        <v>#VALUE!</v>
      </c>
      <c r="GP15" t="e">
        <f>AND(OnDemandVsReserved!H17,"AAAAAHp8f8U=")</f>
        <v>#VALUE!</v>
      </c>
      <c r="GQ15" t="e">
        <f>AND(OnDemandVsReserved!I17,"AAAAAHp8f8Y=")</f>
        <v>#VALUE!</v>
      </c>
      <c r="GR15" t="e">
        <f>AND(OnDemandVsReserved!J17,"AAAAAHp8f8c=")</f>
        <v>#VALUE!</v>
      </c>
      <c r="GS15" t="e">
        <f>AND(OnDemandVsReserved!K17,"AAAAAHp8f8g=")</f>
        <v>#VALUE!</v>
      </c>
      <c r="GT15" t="e">
        <f>AND(OnDemandVsReserved!L17,"AAAAAHp8f8k=")</f>
        <v>#VALUE!</v>
      </c>
      <c r="GU15" t="e">
        <f>AND(OnDemandVsReserved!M17,"AAAAAHp8f8o=")</f>
        <v>#VALUE!</v>
      </c>
      <c r="GV15">
        <f>IF(OnDemandVsReserved!18:18,"AAAAAHp8f8s=",0)</f>
        <v>0</v>
      </c>
      <c r="GW15" t="e">
        <f>AND(OnDemandVsReserved!A18,"AAAAAHp8f8w=")</f>
        <v>#VALUE!</v>
      </c>
      <c r="GX15" t="e">
        <f>AND(OnDemandVsReserved!B18,"AAAAAHp8f80=")</f>
        <v>#VALUE!</v>
      </c>
      <c r="GY15" t="e">
        <f>AND(OnDemandVsReserved!C18,"AAAAAHp8f84=")</f>
        <v>#VALUE!</v>
      </c>
      <c r="GZ15" t="e">
        <f>AND(OnDemandVsReserved!D18,"AAAAAHp8f88=")</f>
        <v>#VALUE!</v>
      </c>
      <c r="HA15" t="e">
        <f>AND(OnDemandVsReserved!E18,"AAAAAHp8f9A=")</f>
        <v>#VALUE!</v>
      </c>
      <c r="HB15" t="e">
        <f>AND(OnDemandVsReserved!F18,"AAAAAHp8f9E=")</f>
        <v>#VALUE!</v>
      </c>
      <c r="HC15" t="e">
        <f>AND(OnDemandVsReserved!G18,"AAAAAHp8f9I=")</f>
        <v>#VALUE!</v>
      </c>
      <c r="HD15" t="e">
        <f>AND(OnDemandVsReserved!H18,"AAAAAHp8f9M=")</f>
        <v>#VALUE!</v>
      </c>
      <c r="HE15" t="e">
        <f>AND(OnDemandVsReserved!I18,"AAAAAHp8f9Q=")</f>
        <v>#VALUE!</v>
      </c>
      <c r="HF15" t="e">
        <f>AND(OnDemandVsReserved!J18,"AAAAAHp8f9U=")</f>
        <v>#VALUE!</v>
      </c>
      <c r="HG15" t="e">
        <f>AND(OnDemandVsReserved!K18,"AAAAAHp8f9Y=")</f>
        <v>#VALUE!</v>
      </c>
      <c r="HH15" t="e">
        <f>AND(OnDemandVsReserved!L18,"AAAAAHp8f9c=")</f>
        <v>#VALUE!</v>
      </c>
      <c r="HI15" t="e">
        <f>AND(OnDemandVsReserved!M18,"AAAAAHp8f9g=")</f>
        <v>#VALUE!</v>
      </c>
      <c r="HJ15">
        <f>IF(OnDemandVsReserved!19:19,"AAAAAHp8f9k=",0)</f>
        <v>0</v>
      </c>
      <c r="HK15" t="e">
        <f>AND(OnDemandVsReserved!A19,"AAAAAHp8f9o=")</f>
        <v>#VALUE!</v>
      </c>
      <c r="HL15" t="e">
        <f>AND(OnDemandVsReserved!B19,"AAAAAHp8f9s=")</f>
        <v>#VALUE!</v>
      </c>
      <c r="HM15" t="e">
        <f>AND(OnDemandVsReserved!C19,"AAAAAHp8f9w=")</f>
        <v>#VALUE!</v>
      </c>
      <c r="HN15" t="e">
        <f>AND(OnDemandVsReserved!D19,"AAAAAHp8f90=")</f>
        <v>#VALUE!</v>
      </c>
      <c r="HO15" t="e">
        <f>AND(OnDemandVsReserved!E19,"AAAAAHp8f94=")</f>
        <v>#VALUE!</v>
      </c>
      <c r="HP15" t="e">
        <f>AND(OnDemandVsReserved!F19,"AAAAAHp8f98=")</f>
        <v>#VALUE!</v>
      </c>
      <c r="HQ15" t="e">
        <f>AND(OnDemandVsReserved!G19,"AAAAAHp8f+A=")</f>
        <v>#VALUE!</v>
      </c>
      <c r="HR15" t="e">
        <f>AND(OnDemandVsReserved!H19,"AAAAAHp8f+E=")</f>
        <v>#VALUE!</v>
      </c>
      <c r="HS15" t="e">
        <f>AND(OnDemandVsReserved!I19,"AAAAAHp8f+I=")</f>
        <v>#VALUE!</v>
      </c>
      <c r="HT15" t="e">
        <f>AND(OnDemandVsReserved!J19,"AAAAAHp8f+M=")</f>
        <v>#VALUE!</v>
      </c>
      <c r="HU15" t="e">
        <f>AND(OnDemandVsReserved!K19,"AAAAAHp8f+Q=")</f>
        <v>#VALUE!</v>
      </c>
      <c r="HV15" t="e">
        <f>AND(OnDemandVsReserved!L19,"AAAAAHp8f+U=")</f>
        <v>#VALUE!</v>
      </c>
      <c r="HW15" t="e">
        <f>AND(OnDemandVsReserved!M19,"AAAAAHp8f+Y=")</f>
        <v>#VALUE!</v>
      </c>
      <c r="HX15">
        <f>IF(OnDemandVsReserved!20:20,"AAAAAHp8f+c=",0)</f>
        <v>0</v>
      </c>
      <c r="HY15" t="e">
        <f>AND(OnDemandVsReserved!A20,"AAAAAHp8f+g=")</f>
        <v>#VALUE!</v>
      </c>
      <c r="HZ15" t="e">
        <f>AND(OnDemandVsReserved!B20,"AAAAAHp8f+k=")</f>
        <v>#VALUE!</v>
      </c>
      <c r="IA15" t="e">
        <f>AND(OnDemandVsReserved!C20,"AAAAAHp8f+o=")</f>
        <v>#VALUE!</v>
      </c>
      <c r="IB15" t="e">
        <f>AND(OnDemandVsReserved!D20,"AAAAAHp8f+s=")</f>
        <v>#VALUE!</v>
      </c>
      <c r="IC15" t="e">
        <f>AND(OnDemandVsReserved!E20,"AAAAAHp8f+w=")</f>
        <v>#VALUE!</v>
      </c>
      <c r="ID15" t="e">
        <f>AND(OnDemandVsReserved!F20,"AAAAAHp8f+0=")</f>
        <v>#VALUE!</v>
      </c>
      <c r="IE15" t="e">
        <f>AND(OnDemandVsReserved!G20,"AAAAAHp8f+4=")</f>
        <v>#VALUE!</v>
      </c>
      <c r="IF15" t="e">
        <f>AND(OnDemandVsReserved!H20,"AAAAAHp8f+8=")</f>
        <v>#VALUE!</v>
      </c>
      <c r="IG15" t="e">
        <f>AND(OnDemandVsReserved!I20,"AAAAAHp8f/A=")</f>
        <v>#VALUE!</v>
      </c>
      <c r="IH15" t="e">
        <f>AND(OnDemandVsReserved!J20,"AAAAAHp8f/E=")</f>
        <v>#VALUE!</v>
      </c>
      <c r="II15" t="e">
        <f>AND(OnDemandVsReserved!K20,"AAAAAHp8f/I=")</f>
        <v>#VALUE!</v>
      </c>
      <c r="IJ15" t="e">
        <f>AND(OnDemandVsReserved!L20,"AAAAAHp8f/M=")</f>
        <v>#VALUE!</v>
      </c>
      <c r="IK15" t="e">
        <f>AND(OnDemandVsReserved!M20,"AAAAAHp8f/Q=")</f>
        <v>#VALUE!</v>
      </c>
      <c r="IL15">
        <f>IF(OnDemandVsReserved!21:21,"AAAAAHp8f/U=",0)</f>
        <v>0</v>
      </c>
      <c r="IM15" t="e">
        <f>AND(OnDemandVsReserved!A21,"AAAAAHp8f/Y=")</f>
        <v>#VALUE!</v>
      </c>
      <c r="IN15" t="e">
        <f>AND(OnDemandVsReserved!B21,"AAAAAHp8f/c=")</f>
        <v>#VALUE!</v>
      </c>
      <c r="IO15" t="e">
        <f>AND(OnDemandVsReserved!C21,"AAAAAHp8f/g=")</f>
        <v>#VALUE!</v>
      </c>
      <c r="IP15" t="e">
        <f>AND(OnDemandVsReserved!D21,"AAAAAHp8f/k=")</f>
        <v>#VALUE!</v>
      </c>
      <c r="IQ15" t="e">
        <f>AND(OnDemandVsReserved!E21,"AAAAAHp8f/o=")</f>
        <v>#VALUE!</v>
      </c>
      <c r="IR15" t="e">
        <f>AND(OnDemandVsReserved!F21,"AAAAAHp8f/s=")</f>
        <v>#VALUE!</v>
      </c>
      <c r="IS15" t="e">
        <f>AND(OnDemandVsReserved!G21,"AAAAAHp8f/w=")</f>
        <v>#VALUE!</v>
      </c>
      <c r="IT15" t="e">
        <f>AND(OnDemandVsReserved!H21,"AAAAAHp8f/0=")</f>
        <v>#VALUE!</v>
      </c>
      <c r="IU15" t="e">
        <f>AND(OnDemandVsReserved!I21,"AAAAAHp8f/4=")</f>
        <v>#VALUE!</v>
      </c>
      <c r="IV15" t="e">
        <f>AND(OnDemandVsReserved!J21,"AAAAAHp8f/8=")</f>
        <v>#VALUE!</v>
      </c>
    </row>
    <row r="16" spans="1:256" x14ac:dyDescent="0.25">
      <c r="A16" t="e">
        <f>AND(OnDemandVsReserved!K21,"AAAAAH//nwA=")</f>
        <v>#VALUE!</v>
      </c>
      <c r="B16" t="e">
        <f>AND(OnDemandVsReserved!L21,"AAAAAH//nwE=")</f>
        <v>#VALUE!</v>
      </c>
      <c r="C16" t="e">
        <f>AND(OnDemandVsReserved!M21,"AAAAAH//nwI=")</f>
        <v>#VALUE!</v>
      </c>
      <c r="D16" t="e">
        <f>IF(OnDemandVsReserved!22:22,"AAAAAH//nwM=",0)</f>
        <v>#VALUE!</v>
      </c>
      <c r="E16" t="e">
        <f>AND(OnDemandVsReserved!A22,"AAAAAH//nwQ=")</f>
        <v>#VALUE!</v>
      </c>
      <c r="F16" t="e">
        <f>AND(OnDemandVsReserved!B22,"AAAAAH//nwU=")</f>
        <v>#VALUE!</v>
      </c>
      <c r="G16" t="e">
        <f>AND(OnDemandVsReserved!C22,"AAAAAH//nwY=")</f>
        <v>#VALUE!</v>
      </c>
      <c r="H16" t="e">
        <f>AND(OnDemandVsReserved!D22,"AAAAAH//nwc=")</f>
        <v>#VALUE!</v>
      </c>
      <c r="I16" t="e">
        <f>AND(OnDemandVsReserved!E22,"AAAAAH//nwg=")</f>
        <v>#VALUE!</v>
      </c>
      <c r="J16" t="e">
        <f>AND(OnDemandVsReserved!F22,"AAAAAH//nwk=")</f>
        <v>#VALUE!</v>
      </c>
      <c r="K16" t="e">
        <f>AND(OnDemandVsReserved!G22,"AAAAAH//nwo=")</f>
        <v>#VALUE!</v>
      </c>
      <c r="L16" t="e">
        <f>AND(OnDemandVsReserved!H22,"AAAAAH//nws=")</f>
        <v>#VALUE!</v>
      </c>
      <c r="M16" t="e">
        <f>AND(OnDemandVsReserved!I22,"AAAAAH//nww=")</f>
        <v>#VALUE!</v>
      </c>
      <c r="N16" t="e">
        <f>AND(OnDemandVsReserved!J22,"AAAAAH//nw0=")</f>
        <v>#VALUE!</v>
      </c>
      <c r="O16" t="e">
        <f>AND(OnDemandVsReserved!K22,"AAAAAH//nw4=")</f>
        <v>#VALUE!</v>
      </c>
      <c r="P16" t="e">
        <f>AND(OnDemandVsReserved!L22,"AAAAAH//nw8=")</f>
        <v>#VALUE!</v>
      </c>
      <c r="Q16" t="e">
        <f>AND(OnDemandVsReserved!M22,"AAAAAH//nxA=")</f>
        <v>#VALUE!</v>
      </c>
      <c r="R16">
        <f>IF(OnDemandVsReserved!23:23,"AAAAAH//nxE=",0)</f>
        <v>0</v>
      </c>
      <c r="S16" t="e">
        <f>AND(OnDemandVsReserved!A23,"AAAAAH//nxI=")</f>
        <v>#VALUE!</v>
      </c>
      <c r="T16" t="e">
        <f>AND(OnDemandVsReserved!B23,"AAAAAH//nxM=")</f>
        <v>#VALUE!</v>
      </c>
      <c r="U16" t="e">
        <f>AND(OnDemandVsReserved!C23,"AAAAAH//nxQ=")</f>
        <v>#VALUE!</v>
      </c>
      <c r="V16" t="e">
        <f>AND(OnDemandVsReserved!D23,"AAAAAH//nxU=")</f>
        <v>#VALUE!</v>
      </c>
      <c r="W16" t="e">
        <f>AND(OnDemandVsReserved!E23,"AAAAAH//nxY=")</f>
        <v>#VALUE!</v>
      </c>
      <c r="X16" t="e">
        <f>AND(OnDemandVsReserved!F23,"AAAAAH//nxc=")</f>
        <v>#VALUE!</v>
      </c>
      <c r="Y16" t="e">
        <f>AND(OnDemandVsReserved!G23,"AAAAAH//nxg=")</f>
        <v>#VALUE!</v>
      </c>
      <c r="Z16" t="e">
        <f>AND(OnDemandVsReserved!H23,"AAAAAH//nxk=")</f>
        <v>#VALUE!</v>
      </c>
      <c r="AA16" t="e">
        <f>AND(OnDemandVsReserved!I23,"AAAAAH//nxo=")</f>
        <v>#VALUE!</v>
      </c>
      <c r="AB16" t="e">
        <f>AND(OnDemandVsReserved!J23,"AAAAAH//nxs=")</f>
        <v>#VALUE!</v>
      </c>
      <c r="AC16" t="e">
        <f>AND(OnDemandVsReserved!K23,"AAAAAH//nxw=")</f>
        <v>#VALUE!</v>
      </c>
      <c r="AD16" t="e">
        <f>AND(OnDemandVsReserved!L23,"AAAAAH//nx0=")</f>
        <v>#VALUE!</v>
      </c>
      <c r="AE16" t="e">
        <f>AND(OnDemandVsReserved!M23,"AAAAAH//nx4=")</f>
        <v>#VALUE!</v>
      </c>
      <c r="AF16">
        <f>IF(OnDemandVsReserved!24:24,"AAAAAH//nx8=",0)</f>
        <v>0</v>
      </c>
      <c r="AG16" t="e">
        <f>AND(OnDemandVsReserved!A24,"AAAAAH//nyA=")</f>
        <v>#VALUE!</v>
      </c>
      <c r="AH16" t="e">
        <f>AND(OnDemandVsReserved!B24,"AAAAAH//nyE=")</f>
        <v>#VALUE!</v>
      </c>
      <c r="AI16" t="e">
        <f>AND(OnDemandVsReserved!C24,"AAAAAH//nyI=")</f>
        <v>#VALUE!</v>
      </c>
      <c r="AJ16" t="e">
        <f>AND(OnDemandVsReserved!D24,"AAAAAH//nyM=")</f>
        <v>#VALUE!</v>
      </c>
      <c r="AK16" t="e">
        <f>AND(OnDemandVsReserved!E24,"AAAAAH//nyQ=")</f>
        <v>#VALUE!</v>
      </c>
      <c r="AL16" t="e">
        <f>AND(OnDemandVsReserved!F24,"AAAAAH//nyU=")</f>
        <v>#VALUE!</v>
      </c>
      <c r="AM16" t="e">
        <f>AND(OnDemandVsReserved!G24,"AAAAAH//nyY=")</f>
        <v>#VALUE!</v>
      </c>
      <c r="AN16" t="e">
        <f>AND(OnDemandVsReserved!H24,"AAAAAH//nyc=")</f>
        <v>#VALUE!</v>
      </c>
      <c r="AO16" t="e">
        <f>AND(OnDemandVsReserved!I24,"AAAAAH//nyg=")</f>
        <v>#VALUE!</v>
      </c>
      <c r="AP16" t="e">
        <f>AND(OnDemandVsReserved!J24,"AAAAAH//nyk=")</f>
        <v>#VALUE!</v>
      </c>
      <c r="AQ16" t="e">
        <f>AND(OnDemandVsReserved!K24,"AAAAAH//nyo=")</f>
        <v>#VALUE!</v>
      </c>
      <c r="AR16" t="e">
        <f>AND(OnDemandVsReserved!L24,"AAAAAH//nys=")</f>
        <v>#VALUE!</v>
      </c>
      <c r="AS16" t="e">
        <f>AND(OnDemandVsReserved!M24,"AAAAAH//nyw=")</f>
        <v>#VALUE!</v>
      </c>
      <c r="AT16">
        <f>IF(OnDemandVsReserved!25:25,"AAAAAH//ny0=",0)</f>
        <v>0</v>
      </c>
      <c r="AU16" t="e">
        <f>AND(OnDemandVsReserved!A25,"AAAAAH//ny4=")</f>
        <v>#VALUE!</v>
      </c>
      <c r="AV16" t="e">
        <f>AND(OnDemandVsReserved!B25,"AAAAAH//ny8=")</f>
        <v>#VALUE!</v>
      </c>
      <c r="AW16" t="e">
        <f>AND(OnDemandVsReserved!C25,"AAAAAH//nzA=")</f>
        <v>#VALUE!</v>
      </c>
      <c r="AX16" t="e">
        <f>AND(OnDemandVsReserved!D25,"AAAAAH//nzE=")</f>
        <v>#VALUE!</v>
      </c>
      <c r="AY16" t="e">
        <f>AND(OnDemandVsReserved!E25,"AAAAAH//nzI=")</f>
        <v>#VALUE!</v>
      </c>
      <c r="AZ16" t="e">
        <f>AND(OnDemandVsReserved!F25,"AAAAAH//nzM=")</f>
        <v>#VALUE!</v>
      </c>
      <c r="BA16" t="e">
        <f>AND(OnDemandVsReserved!G25,"AAAAAH//nzQ=")</f>
        <v>#VALUE!</v>
      </c>
      <c r="BB16" t="e">
        <f>AND(OnDemandVsReserved!H25,"AAAAAH//nzU=")</f>
        <v>#VALUE!</v>
      </c>
      <c r="BC16" t="e">
        <f>AND(OnDemandVsReserved!I25,"AAAAAH//nzY=")</f>
        <v>#VALUE!</v>
      </c>
      <c r="BD16" t="e">
        <f>AND(OnDemandVsReserved!J25,"AAAAAH//nzc=")</f>
        <v>#VALUE!</v>
      </c>
      <c r="BE16" t="e">
        <f>AND(OnDemandVsReserved!K25,"AAAAAH//nzg=")</f>
        <v>#VALUE!</v>
      </c>
      <c r="BF16" t="e">
        <f>AND(OnDemandVsReserved!L25,"AAAAAH//nzk=")</f>
        <v>#VALUE!</v>
      </c>
      <c r="BG16" t="e">
        <f>AND(OnDemandVsReserved!M25,"AAAAAH//nzo=")</f>
        <v>#VALUE!</v>
      </c>
      <c r="BH16">
        <f>IF(OnDemandVsReserved!26:26,"AAAAAH//nzs=",0)</f>
        <v>0</v>
      </c>
      <c r="BI16" t="e">
        <f>AND(OnDemandVsReserved!A26,"AAAAAH//nzw=")</f>
        <v>#VALUE!</v>
      </c>
      <c r="BJ16" t="e">
        <f>AND(OnDemandVsReserved!B26,"AAAAAH//nz0=")</f>
        <v>#VALUE!</v>
      </c>
      <c r="BK16" t="e">
        <f>AND(OnDemandVsReserved!C26,"AAAAAH//nz4=")</f>
        <v>#VALUE!</v>
      </c>
      <c r="BL16" t="e">
        <f>AND(OnDemandVsReserved!D26,"AAAAAH//nz8=")</f>
        <v>#VALUE!</v>
      </c>
      <c r="BM16" t="e">
        <f>AND(OnDemandVsReserved!E26,"AAAAAH//n0A=")</f>
        <v>#VALUE!</v>
      </c>
      <c r="BN16" t="e">
        <f>AND(OnDemandVsReserved!F26,"AAAAAH//n0E=")</f>
        <v>#VALUE!</v>
      </c>
      <c r="BO16" t="e">
        <f>AND(OnDemandVsReserved!G26,"AAAAAH//n0I=")</f>
        <v>#VALUE!</v>
      </c>
      <c r="BP16" t="e">
        <f>AND(OnDemandVsReserved!H26,"AAAAAH//n0M=")</f>
        <v>#VALUE!</v>
      </c>
      <c r="BQ16" t="e">
        <f>AND(OnDemandVsReserved!I26,"AAAAAH//n0Q=")</f>
        <v>#VALUE!</v>
      </c>
      <c r="BR16" t="e">
        <f>AND(OnDemandVsReserved!J26,"AAAAAH//n0U=")</f>
        <v>#VALUE!</v>
      </c>
      <c r="BS16" t="e">
        <f>AND(OnDemandVsReserved!K26,"AAAAAH//n0Y=")</f>
        <v>#VALUE!</v>
      </c>
      <c r="BT16" t="e">
        <f>AND(OnDemandVsReserved!L26,"AAAAAH//n0c=")</f>
        <v>#VALUE!</v>
      </c>
      <c r="BU16" t="e">
        <f>AND(OnDemandVsReserved!M26,"AAAAAH//n0g=")</f>
        <v>#VALUE!</v>
      </c>
      <c r="BV16">
        <f>IF(OnDemandVsReserved!27:27,"AAAAAH//n0k=",0)</f>
        <v>0</v>
      </c>
      <c r="BW16" t="e">
        <f>AND(OnDemandVsReserved!A27,"AAAAAH//n0o=")</f>
        <v>#VALUE!</v>
      </c>
      <c r="BX16" t="e">
        <f>AND(OnDemandVsReserved!B27,"AAAAAH//n0s=")</f>
        <v>#VALUE!</v>
      </c>
      <c r="BY16" t="e">
        <f>AND(OnDemandVsReserved!C27,"AAAAAH//n0w=")</f>
        <v>#VALUE!</v>
      </c>
      <c r="BZ16" t="e">
        <f>AND(OnDemandVsReserved!D27,"AAAAAH//n00=")</f>
        <v>#VALUE!</v>
      </c>
      <c r="CA16" t="e">
        <f>AND(OnDemandVsReserved!E27,"AAAAAH//n04=")</f>
        <v>#VALUE!</v>
      </c>
      <c r="CB16" t="e">
        <f>AND(OnDemandVsReserved!F27,"AAAAAH//n08=")</f>
        <v>#VALUE!</v>
      </c>
      <c r="CC16" t="e">
        <f>AND(OnDemandVsReserved!G27,"AAAAAH//n1A=")</f>
        <v>#VALUE!</v>
      </c>
      <c r="CD16" t="e">
        <f>AND(OnDemandVsReserved!H27,"AAAAAH//n1E=")</f>
        <v>#VALUE!</v>
      </c>
      <c r="CE16" t="e">
        <f>AND(OnDemandVsReserved!I27,"AAAAAH//n1I=")</f>
        <v>#VALUE!</v>
      </c>
      <c r="CF16" t="e">
        <f>AND(OnDemandVsReserved!J27,"AAAAAH//n1M=")</f>
        <v>#VALUE!</v>
      </c>
      <c r="CG16" t="e">
        <f>AND(OnDemandVsReserved!K27,"AAAAAH//n1Q=")</f>
        <v>#VALUE!</v>
      </c>
      <c r="CH16" t="e">
        <f>AND(OnDemandVsReserved!L27,"AAAAAH//n1U=")</f>
        <v>#VALUE!</v>
      </c>
      <c r="CI16" t="e">
        <f>AND(OnDemandVsReserved!M27,"AAAAAH//n1Y=")</f>
        <v>#VALUE!</v>
      </c>
      <c r="CJ16">
        <f>IF(OnDemandVsReserved!28:28,"AAAAAH//n1c=",0)</f>
        <v>0</v>
      </c>
      <c r="CK16" t="e">
        <f>AND(OnDemandVsReserved!A28,"AAAAAH//n1g=")</f>
        <v>#VALUE!</v>
      </c>
      <c r="CL16" t="e">
        <f>AND(OnDemandVsReserved!B28,"AAAAAH//n1k=")</f>
        <v>#VALUE!</v>
      </c>
      <c r="CM16" t="e">
        <f>AND(OnDemandVsReserved!C28,"AAAAAH//n1o=")</f>
        <v>#VALUE!</v>
      </c>
      <c r="CN16" t="e">
        <f>AND(OnDemandVsReserved!D28,"AAAAAH//n1s=")</f>
        <v>#VALUE!</v>
      </c>
      <c r="CO16" t="e">
        <f>AND(OnDemandVsReserved!E28,"AAAAAH//n1w=")</f>
        <v>#VALUE!</v>
      </c>
      <c r="CP16" t="e">
        <f>AND(OnDemandVsReserved!F28,"AAAAAH//n10=")</f>
        <v>#VALUE!</v>
      </c>
      <c r="CQ16" t="e">
        <f>AND(OnDemandVsReserved!G28,"AAAAAH//n14=")</f>
        <v>#VALUE!</v>
      </c>
      <c r="CR16" t="e">
        <f>AND(OnDemandVsReserved!H28,"AAAAAH//n18=")</f>
        <v>#VALUE!</v>
      </c>
      <c r="CS16" t="e">
        <f>AND(OnDemandVsReserved!I28,"AAAAAH//n2A=")</f>
        <v>#VALUE!</v>
      </c>
      <c r="CT16" t="e">
        <f>AND(OnDemandVsReserved!J28,"AAAAAH//n2E=")</f>
        <v>#VALUE!</v>
      </c>
      <c r="CU16" t="e">
        <f>AND(OnDemandVsReserved!K28,"AAAAAH//n2I=")</f>
        <v>#VALUE!</v>
      </c>
      <c r="CV16" t="e">
        <f>AND(OnDemandVsReserved!L28,"AAAAAH//n2M=")</f>
        <v>#VALUE!</v>
      </c>
      <c r="CW16" t="e">
        <f>AND(OnDemandVsReserved!M28,"AAAAAH//n2Q=")</f>
        <v>#VALUE!</v>
      </c>
      <c r="CX16">
        <f>IF(OnDemandVsReserved!29:29,"AAAAAH//n2U=",0)</f>
        <v>0</v>
      </c>
      <c r="CY16" t="e">
        <f>AND(OnDemandVsReserved!A29,"AAAAAH//n2Y=")</f>
        <v>#VALUE!</v>
      </c>
      <c r="CZ16" t="e">
        <f>AND(OnDemandVsReserved!B29,"AAAAAH//n2c=")</f>
        <v>#VALUE!</v>
      </c>
      <c r="DA16" t="e">
        <f>AND(OnDemandVsReserved!C29,"AAAAAH//n2g=")</f>
        <v>#VALUE!</v>
      </c>
      <c r="DB16" t="e">
        <f>AND(OnDemandVsReserved!D29,"AAAAAH//n2k=")</f>
        <v>#VALUE!</v>
      </c>
      <c r="DC16" t="e">
        <f>AND(OnDemandVsReserved!E29,"AAAAAH//n2o=")</f>
        <v>#VALUE!</v>
      </c>
      <c r="DD16" t="e">
        <f>AND(OnDemandVsReserved!F29,"AAAAAH//n2s=")</f>
        <v>#VALUE!</v>
      </c>
      <c r="DE16" t="e">
        <f>AND(OnDemandVsReserved!G29,"AAAAAH//n2w=")</f>
        <v>#VALUE!</v>
      </c>
      <c r="DF16" t="e">
        <f>AND(OnDemandVsReserved!H29,"AAAAAH//n20=")</f>
        <v>#VALUE!</v>
      </c>
      <c r="DG16" t="e">
        <f>AND(OnDemandVsReserved!I29,"AAAAAH//n24=")</f>
        <v>#VALUE!</v>
      </c>
      <c r="DH16" t="e">
        <f>AND(OnDemandVsReserved!J29,"AAAAAH//n28=")</f>
        <v>#VALUE!</v>
      </c>
      <c r="DI16" t="e">
        <f>AND(OnDemandVsReserved!K29,"AAAAAH//n3A=")</f>
        <v>#VALUE!</v>
      </c>
      <c r="DJ16" t="e">
        <f>AND(OnDemandVsReserved!L29,"AAAAAH//n3E=")</f>
        <v>#VALUE!</v>
      </c>
      <c r="DK16" t="e">
        <f>AND(OnDemandVsReserved!M29,"AAAAAH//n3I=")</f>
        <v>#VALUE!</v>
      </c>
      <c r="DL16">
        <f>IF(OnDemandVsReserved!30:30,"AAAAAH//n3M=",0)</f>
        <v>0</v>
      </c>
      <c r="DM16" t="e">
        <f>AND(OnDemandVsReserved!A30,"AAAAAH//n3Q=")</f>
        <v>#VALUE!</v>
      </c>
      <c r="DN16" t="e">
        <f>AND(OnDemandVsReserved!B30,"AAAAAH//n3U=")</f>
        <v>#VALUE!</v>
      </c>
      <c r="DO16" t="e">
        <f>AND(OnDemandVsReserved!C30,"AAAAAH//n3Y=")</f>
        <v>#VALUE!</v>
      </c>
      <c r="DP16" t="e">
        <f>AND(OnDemandVsReserved!D30,"AAAAAH//n3c=")</f>
        <v>#VALUE!</v>
      </c>
      <c r="DQ16" t="e">
        <f>AND(OnDemandVsReserved!E30,"AAAAAH//n3g=")</f>
        <v>#VALUE!</v>
      </c>
      <c r="DR16" t="e">
        <f>AND(OnDemandVsReserved!F30,"AAAAAH//n3k=")</f>
        <v>#VALUE!</v>
      </c>
      <c r="DS16" t="e">
        <f>AND(OnDemandVsReserved!G30,"AAAAAH//n3o=")</f>
        <v>#VALUE!</v>
      </c>
      <c r="DT16" t="e">
        <f>AND(OnDemandVsReserved!H30,"AAAAAH//n3s=")</f>
        <v>#VALUE!</v>
      </c>
      <c r="DU16" t="e">
        <f>AND(OnDemandVsReserved!I30,"AAAAAH//n3w=")</f>
        <v>#VALUE!</v>
      </c>
      <c r="DV16" t="e">
        <f>AND(OnDemandVsReserved!J30,"AAAAAH//n30=")</f>
        <v>#VALUE!</v>
      </c>
      <c r="DW16" t="e">
        <f>AND(OnDemandVsReserved!K30,"AAAAAH//n34=")</f>
        <v>#VALUE!</v>
      </c>
      <c r="DX16" t="e">
        <f>AND(OnDemandVsReserved!L30,"AAAAAH//n38=")</f>
        <v>#VALUE!</v>
      </c>
      <c r="DY16" t="e">
        <f>AND(OnDemandVsReserved!M30,"AAAAAH//n4A=")</f>
        <v>#VALUE!</v>
      </c>
      <c r="DZ16">
        <f>IF(OnDemandVsReserved!31:31,"AAAAAH//n4E=",0)</f>
        <v>0</v>
      </c>
      <c r="EA16" t="e">
        <f>AND(OnDemandVsReserved!A31,"AAAAAH//n4I=")</f>
        <v>#VALUE!</v>
      </c>
      <c r="EB16" t="e">
        <f>AND(OnDemandVsReserved!B31,"AAAAAH//n4M=")</f>
        <v>#VALUE!</v>
      </c>
      <c r="EC16" t="e">
        <f>AND(OnDemandVsReserved!C31,"AAAAAH//n4Q=")</f>
        <v>#VALUE!</v>
      </c>
      <c r="ED16" t="e">
        <f>AND(OnDemandVsReserved!D31,"AAAAAH//n4U=")</f>
        <v>#VALUE!</v>
      </c>
      <c r="EE16" t="e">
        <f>AND(OnDemandVsReserved!E31,"AAAAAH//n4Y=")</f>
        <v>#VALUE!</v>
      </c>
      <c r="EF16" t="e">
        <f>AND(OnDemandVsReserved!F31,"AAAAAH//n4c=")</f>
        <v>#VALUE!</v>
      </c>
      <c r="EG16" t="e">
        <f>AND(OnDemandVsReserved!G31,"AAAAAH//n4g=")</f>
        <v>#VALUE!</v>
      </c>
      <c r="EH16" t="e">
        <f>AND(OnDemandVsReserved!H31,"AAAAAH//n4k=")</f>
        <v>#VALUE!</v>
      </c>
      <c r="EI16" t="e">
        <f>AND(OnDemandVsReserved!I31,"AAAAAH//n4o=")</f>
        <v>#VALUE!</v>
      </c>
      <c r="EJ16" t="e">
        <f>AND(OnDemandVsReserved!J31,"AAAAAH//n4s=")</f>
        <v>#VALUE!</v>
      </c>
      <c r="EK16" t="e">
        <f>AND(OnDemandVsReserved!K31,"AAAAAH//n4w=")</f>
        <v>#VALUE!</v>
      </c>
      <c r="EL16" t="e">
        <f>AND(OnDemandVsReserved!L31,"AAAAAH//n40=")</f>
        <v>#VALUE!</v>
      </c>
      <c r="EM16" t="e">
        <f>AND(OnDemandVsReserved!M31,"AAAAAH//n44=")</f>
        <v>#VALUE!</v>
      </c>
      <c r="EN16">
        <f>IF(OnDemandVsReserved!32:32,"AAAAAH//n48=",0)</f>
        <v>0</v>
      </c>
      <c r="EO16" t="e">
        <f>AND(OnDemandVsReserved!A32,"AAAAAH//n5A=")</f>
        <v>#VALUE!</v>
      </c>
      <c r="EP16" t="e">
        <f>AND(OnDemandVsReserved!B32,"AAAAAH//n5E=")</f>
        <v>#VALUE!</v>
      </c>
      <c r="EQ16" t="e">
        <f>AND(OnDemandVsReserved!C32,"AAAAAH//n5I=")</f>
        <v>#VALUE!</v>
      </c>
      <c r="ER16" t="e">
        <f>AND(OnDemandVsReserved!D32,"AAAAAH//n5M=")</f>
        <v>#VALUE!</v>
      </c>
      <c r="ES16" t="e">
        <f>AND(OnDemandVsReserved!E32,"AAAAAH//n5Q=")</f>
        <v>#VALUE!</v>
      </c>
      <c r="ET16" t="e">
        <f>AND(OnDemandVsReserved!F32,"AAAAAH//n5U=")</f>
        <v>#VALUE!</v>
      </c>
      <c r="EU16" t="e">
        <f>AND(OnDemandVsReserved!G32,"AAAAAH//n5Y=")</f>
        <v>#VALUE!</v>
      </c>
      <c r="EV16" t="e">
        <f>AND(OnDemandVsReserved!H32,"AAAAAH//n5c=")</f>
        <v>#VALUE!</v>
      </c>
      <c r="EW16" t="e">
        <f>AND(OnDemandVsReserved!I32,"AAAAAH//n5g=")</f>
        <v>#VALUE!</v>
      </c>
      <c r="EX16" t="e">
        <f>AND(OnDemandVsReserved!J32,"AAAAAH//n5k=")</f>
        <v>#VALUE!</v>
      </c>
      <c r="EY16" t="e">
        <f>AND(OnDemandVsReserved!K32,"AAAAAH//n5o=")</f>
        <v>#VALUE!</v>
      </c>
      <c r="EZ16" t="e">
        <f>AND(OnDemandVsReserved!L32,"AAAAAH//n5s=")</f>
        <v>#VALUE!</v>
      </c>
      <c r="FA16" t="e">
        <f>AND(OnDemandVsReserved!M32,"AAAAAH//n5w=")</f>
        <v>#VALUE!</v>
      </c>
      <c r="FB16">
        <f>IF(OnDemandVsReserved!33:33,"AAAAAH//n50=",0)</f>
        <v>0</v>
      </c>
      <c r="FC16" t="e">
        <f>AND(OnDemandVsReserved!A33,"AAAAAH//n54=")</f>
        <v>#VALUE!</v>
      </c>
      <c r="FD16" t="e">
        <f>AND(OnDemandVsReserved!B33,"AAAAAH//n58=")</f>
        <v>#VALUE!</v>
      </c>
      <c r="FE16" t="e">
        <f>AND(OnDemandVsReserved!C33,"AAAAAH//n6A=")</f>
        <v>#VALUE!</v>
      </c>
      <c r="FF16" t="e">
        <f>AND(OnDemandVsReserved!D33,"AAAAAH//n6E=")</f>
        <v>#VALUE!</v>
      </c>
      <c r="FG16" t="e">
        <f>AND(OnDemandVsReserved!E33,"AAAAAH//n6I=")</f>
        <v>#VALUE!</v>
      </c>
      <c r="FH16" t="e">
        <f>AND(OnDemandVsReserved!F33,"AAAAAH//n6M=")</f>
        <v>#VALUE!</v>
      </c>
      <c r="FI16" t="e">
        <f>AND(OnDemandVsReserved!G33,"AAAAAH//n6Q=")</f>
        <v>#VALUE!</v>
      </c>
      <c r="FJ16" t="e">
        <f>AND(OnDemandVsReserved!H33,"AAAAAH//n6U=")</f>
        <v>#VALUE!</v>
      </c>
      <c r="FK16" t="e">
        <f>AND(OnDemandVsReserved!I33,"AAAAAH//n6Y=")</f>
        <v>#VALUE!</v>
      </c>
      <c r="FL16" t="e">
        <f>AND(OnDemandVsReserved!J33,"AAAAAH//n6c=")</f>
        <v>#VALUE!</v>
      </c>
      <c r="FM16" t="e">
        <f>AND(OnDemandVsReserved!K33,"AAAAAH//n6g=")</f>
        <v>#VALUE!</v>
      </c>
      <c r="FN16" t="e">
        <f>AND(OnDemandVsReserved!L33,"AAAAAH//n6k=")</f>
        <v>#VALUE!</v>
      </c>
      <c r="FO16" t="e">
        <f>AND(OnDemandVsReserved!M33,"AAAAAH//n6o=")</f>
        <v>#VALUE!</v>
      </c>
      <c r="FP16">
        <f>IF(OnDemandVsReserved!34:34,"AAAAAH//n6s=",0)</f>
        <v>0</v>
      </c>
      <c r="FQ16" t="e">
        <f>AND(OnDemandVsReserved!A34,"AAAAAH//n6w=")</f>
        <v>#VALUE!</v>
      </c>
      <c r="FR16" t="e">
        <f>AND(OnDemandVsReserved!B34,"AAAAAH//n60=")</f>
        <v>#VALUE!</v>
      </c>
      <c r="FS16" t="e">
        <f>AND(OnDemandVsReserved!C34,"AAAAAH//n64=")</f>
        <v>#VALUE!</v>
      </c>
      <c r="FT16" t="e">
        <f>AND(OnDemandVsReserved!D34,"AAAAAH//n68=")</f>
        <v>#VALUE!</v>
      </c>
      <c r="FU16" t="e">
        <f>AND(OnDemandVsReserved!E34,"AAAAAH//n7A=")</f>
        <v>#VALUE!</v>
      </c>
      <c r="FV16" t="e">
        <f>AND(OnDemandVsReserved!F34,"AAAAAH//n7E=")</f>
        <v>#VALUE!</v>
      </c>
      <c r="FW16" t="e">
        <f>AND(OnDemandVsReserved!G34,"AAAAAH//n7I=")</f>
        <v>#VALUE!</v>
      </c>
      <c r="FX16" t="e">
        <f>AND(OnDemandVsReserved!H34,"AAAAAH//n7M=")</f>
        <v>#VALUE!</v>
      </c>
      <c r="FY16" t="e">
        <f>AND(OnDemandVsReserved!I34,"AAAAAH//n7Q=")</f>
        <v>#VALUE!</v>
      </c>
      <c r="FZ16" t="e">
        <f>AND(OnDemandVsReserved!J34,"AAAAAH//n7U=")</f>
        <v>#VALUE!</v>
      </c>
      <c r="GA16" t="e">
        <f>AND(OnDemandVsReserved!K34,"AAAAAH//n7Y=")</f>
        <v>#VALUE!</v>
      </c>
      <c r="GB16" t="e">
        <f>AND(OnDemandVsReserved!L34,"AAAAAH//n7c=")</f>
        <v>#VALUE!</v>
      </c>
      <c r="GC16" t="e">
        <f>AND(OnDemandVsReserved!M34,"AAAAAH//n7g=")</f>
        <v>#VALUE!</v>
      </c>
      <c r="GD16">
        <f>IF(OnDemandVsReserved!35:35,"AAAAAH//n7k=",0)</f>
        <v>0</v>
      </c>
      <c r="GE16" t="e">
        <f>AND(OnDemandVsReserved!A35,"AAAAAH//n7o=")</f>
        <v>#VALUE!</v>
      </c>
      <c r="GF16" t="e">
        <f>AND(OnDemandVsReserved!B35,"AAAAAH//n7s=")</f>
        <v>#VALUE!</v>
      </c>
      <c r="GG16" t="e">
        <f>AND(OnDemandVsReserved!C35,"AAAAAH//n7w=")</f>
        <v>#VALUE!</v>
      </c>
      <c r="GH16" t="e">
        <f>AND(OnDemandVsReserved!D35,"AAAAAH//n70=")</f>
        <v>#VALUE!</v>
      </c>
      <c r="GI16" t="e">
        <f>AND(OnDemandVsReserved!E35,"AAAAAH//n74=")</f>
        <v>#VALUE!</v>
      </c>
      <c r="GJ16" t="e">
        <f>AND(OnDemandVsReserved!F35,"AAAAAH//n78=")</f>
        <v>#VALUE!</v>
      </c>
      <c r="GK16" t="e">
        <f>AND(OnDemandVsReserved!G35,"AAAAAH//n8A=")</f>
        <v>#VALUE!</v>
      </c>
      <c r="GL16" t="e">
        <f>AND(OnDemandVsReserved!H35,"AAAAAH//n8E=")</f>
        <v>#VALUE!</v>
      </c>
      <c r="GM16" t="e">
        <f>AND(OnDemandVsReserved!I35,"AAAAAH//n8I=")</f>
        <v>#VALUE!</v>
      </c>
      <c r="GN16" t="e">
        <f>AND(OnDemandVsReserved!J35,"AAAAAH//n8M=")</f>
        <v>#VALUE!</v>
      </c>
      <c r="GO16" t="e">
        <f>AND(OnDemandVsReserved!K35,"AAAAAH//n8Q=")</f>
        <v>#VALUE!</v>
      </c>
      <c r="GP16" t="e">
        <f>AND(OnDemandVsReserved!L35,"AAAAAH//n8U=")</f>
        <v>#VALUE!</v>
      </c>
      <c r="GQ16" t="e">
        <f>AND(OnDemandVsReserved!M35,"AAAAAH//n8Y=")</f>
        <v>#VALUE!</v>
      </c>
      <c r="GR16">
        <f>IF(OnDemandVsReserved!36:36,"AAAAAH//n8c=",0)</f>
        <v>0</v>
      </c>
      <c r="GS16" t="e">
        <f>AND(OnDemandVsReserved!A36,"AAAAAH//n8g=")</f>
        <v>#VALUE!</v>
      </c>
      <c r="GT16" t="e">
        <f>AND(OnDemandVsReserved!B36,"AAAAAH//n8k=")</f>
        <v>#VALUE!</v>
      </c>
      <c r="GU16" t="e">
        <f>AND(OnDemandVsReserved!C36,"AAAAAH//n8o=")</f>
        <v>#VALUE!</v>
      </c>
      <c r="GV16" t="e">
        <f>AND(OnDemandVsReserved!D36,"AAAAAH//n8s=")</f>
        <v>#VALUE!</v>
      </c>
      <c r="GW16" t="e">
        <f>AND(OnDemandVsReserved!E36,"AAAAAH//n8w=")</f>
        <v>#VALUE!</v>
      </c>
      <c r="GX16" t="e">
        <f>AND(OnDemandVsReserved!F36,"AAAAAH//n80=")</f>
        <v>#VALUE!</v>
      </c>
      <c r="GY16" t="e">
        <f>AND(OnDemandVsReserved!G36,"AAAAAH//n84=")</f>
        <v>#VALUE!</v>
      </c>
      <c r="GZ16" t="e">
        <f>AND(OnDemandVsReserved!H36,"AAAAAH//n88=")</f>
        <v>#VALUE!</v>
      </c>
      <c r="HA16" t="e">
        <f>AND(OnDemandVsReserved!I36,"AAAAAH//n9A=")</f>
        <v>#VALUE!</v>
      </c>
      <c r="HB16" t="e">
        <f>AND(OnDemandVsReserved!J36,"AAAAAH//n9E=")</f>
        <v>#VALUE!</v>
      </c>
      <c r="HC16" t="e">
        <f>AND(OnDemandVsReserved!K36,"AAAAAH//n9I=")</f>
        <v>#VALUE!</v>
      </c>
      <c r="HD16" t="e">
        <f>AND(OnDemandVsReserved!L36,"AAAAAH//n9M=")</f>
        <v>#VALUE!</v>
      </c>
      <c r="HE16" t="e">
        <f>AND(OnDemandVsReserved!M36,"AAAAAH//n9Q=")</f>
        <v>#VALUE!</v>
      </c>
      <c r="HF16">
        <f>IF(OnDemandVsReserved!37:37,"AAAAAH//n9U=",0)</f>
        <v>0</v>
      </c>
      <c r="HG16" t="e">
        <f>AND(OnDemandVsReserved!A37,"AAAAAH//n9Y=")</f>
        <v>#VALUE!</v>
      </c>
      <c r="HH16" t="e">
        <f>AND(OnDemandVsReserved!B37,"AAAAAH//n9c=")</f>
        <v>#VALUE!</v>
      </c>
      <c r="HI16" t="e">
        <f>AND(OnDemandVsReserved!C37,"AAAAAH//n9g=")</f>
        <v>#VALUE!</v>
      </c>
      <c r="HJ16" t="e">
        <f>AND(OnDemandVsReserved!D37,"AAAAAH//n9k=")</f>
        <v>#VALUE!</v>
      </c>
      <c r="HK16" t="e">
        <f>AND(OnDemandVsReserved!E37,"AAAAAH//n9o=")</f>
        <v>#VALUE!</v>
      </c>
      <c r="HL16" t="e">
        <f>AND(OnDemandVsReserved!F37,"AAAAAH//n9s=")</f>
        <v>#VALUE!</v>
      </c>
      <c r="HM16" t="e">
        <f>AND(OnDemandVsReserved!G37,"AAAAAH//n9w=")</f>
        <v>#VALUE!</v>
      </c>
      <c r="HN16" t="e">
        <f>AND(OnDemandVsReserved!H37,"AAAAAH//n90=")</f>
        <v>#VALUE!</v>
      </c>
      <c r="HO16" t="e">
        <f>AND(OnDemandVsReserved!I37,"AAAAAH//n94=")</f>
        <v>#VALUE!</v>
      </c>
      <c r="HP16" t="e">
        <f>AND(OnDemandVsReserved!J37,"AAAAAH//n98=")</f>
        <v>#VALUE!</v>
      </c>
      <c r="HQ16" t="e">
        <f>AND(OnDemandVsReserved!K37,"AAAAAH//n+A=")</f>
        <v>#VALUE!</v>
      </c>
      <c r="HR16" t="e">
        <f>AND(OnDemandVsReserved!L37,"AAAAAH//n+E=")</f>
        <v>#VALUE!</v>
      </c>
      <c r="HS16" t="e">
        <f>AND(OnDemandVsReserved!M37,"AAAAAH//n+I=")</f>
        <v>#VALUE!</v>
      </c>
      <c r="HT16">
        <f>IF(OnDemandVsReserved!38:38,"AAAAAH//n+M=",0)</f>
        <v>0</v>
      </c>
      <c r="HU16" t="e">
        <f>AND(OnDemandVsReserved!A38,"AAAAAH//n+Q=")</f>
        <v>#VALUE!</v>
      </c>
      <c r="HV16" t="e">
        <f>AND(OnDemandVsReserved!B38,"AAAAAH//n+U=")</f>
        <v>#VALUE!</v>
      </c>
      <c r="HW16" t="e">
        <f>AND(OnDemandVsReserved!C38,"AAAAAH//n+Y=")</f>
        <v>#VALUE!</v>
      </c>
      <c r="HX16" t="e">
        <f>AND(OnDemandVsReserved!D38,"AAAAAH//n+c=")</f>
        <v>#VALUE!</v>
      </c>
      <c r="HY16" t="e">
        <f>AND(OnDemandVsReserved!E38,"AAAAAH//n+g=")</f>
        <v>#VALUE!</v>
      </c>
      <c r="HZ16" t="e">
        <f>AND(OnDemandVsReserved!F38,"AAAAAH//n+k=")</f>
        <v>#VALUE!</v>
      </c>
      <c r="IA16" t="e">
        <f>AND(OnDemandVsReserved!G38,"AAAAAH//n+o=")</f>
        <v>#VALUE!</v>
      </c>
      <c r="IB16" t="e">
        <f>AND(OnDemandVsReserved!H38,"AAAAAH//n+s=")</f>
        <v>#VALUE!</v>
      </c>
      <c r="IC16" t="e">
        <f>AND(OnDemandVsReserved!I38,"AAAAAH//n+w=")</f>
        <v>#VALUE!</v>
      </c>
      <c r="ID16" t="e">
        <f>AND(OnDemandVsReserved!J38,"AAAAAH//n+0=")</f>
        <v>#VALUE!</v>
      </c>
      <c r="IE16" t="e">
        <f>AND(OnDemandVsReserved!K38,"AAAAAH//n+4=")</f>
        <v>#VALUE!</v>
      </c>
      <c r="IF16" t="e">
        <f>AND(OnDemandVsReserved!L38,"AAAAAH//n+8=")</f>
        <v>#VALUE!</v>
      </c>
      <c r="IG16" t="e">
        <f>AND(OnDemandVsReserved!M38,"AAAAAH//n/A=")</f>
        <v>#VALUE!</v>
      </c>
      <c r="IH16">
        <f>IF(OnDemandVsReserved!39:39,"AAAAAH//n/E=",0)</f>
        <v>0</v>
      </c>
      <c r="II16" t="e">
        <f>AND(OnDemandVsReserved!A39,"AAAAAH//n/I=")</f>
        <v>#VALUE!</v>
      </c>
      <c r="IJ16">
        <f>IF(OnDemandVsReserved!40:40,"AAAAAH//n/M=",0)</f>
        <v>0</v>
      </c>
      <c r="IK16" t="e">
        <f>AND(OnDemandVsReserved!A40,"AAAAAH//n/Q=")</f>
        <v>#VALUE!</v>
      </c>
      <c r="IL16">
        <f>IF(OnDemandVsReserved!41:41,"AAAAAH//n/U=",0)</f>
        <v>0</v>
      </c>
      <c r="IM16" t="e">
        <f>AND(OnDemandVsReserved!A41,"AAAAAH//n/Y=")</f>
        <v>#VALUE!</v>
      </c>
      <c r="IN16">
        <f>IF(OnDemandVsReserved!42:42,"AAAAAH//n/c=",0)</f>
        <v>0</v>
      </c>
      <c r="IO16" t="e">
        <f>AND(OnDemandVsReserved!A42,"AAAAAH//n/g=")</f>
        <v>#VALUE!</v>
      </c>
      <c r="IP16" t="e">
        <f>IF(OnDemandVsReserved!A:A,"AAAAAH//n/k=",0)</f>
        <v>#VALUE!</v>
      </c>
      <c r="IQ16" t="str">
        <f>IF(OnDemandVsReserved!B:B,"AAAAAH//n/o=",0)</f>
        <v>AAAAAH//n/o=</v>
      </c>
      <c r="IR16" t="e">
        <f>IF(OnDemandVsReserved!C:C,"AAAAAH//n/s=",0)</f>
        <v>#VALUE!</v>
      </c>
      <c r="IS16" t="str">
        <f>IF(OnDemandVsReserved!D:D,"AAAAAH//n/w=",0)</f>
        <v>AAAAAH//n/w=</v>
      </c>
      <c r="IT16" t="e">
        <f>IF(OnDemandVsReserved!E:E,"AAAAAH//n/0=",0)</f>
        <v>#VALUE!</v>
      </c>
      <c r="IU16" t="str">
        <f>IF(OnDemandVsReserved!F:F,"AAAAAH//n/4=",0)</f>
        <v>AAAAAH//n/4=</v>
      </c>
      <c r="IV16" t="str">
        <f>IF(OnDemandVsReserved!G:G,"AAAAAH//n/8=",0)</f>
        <v>AAAAAH//n/8=</v>
      </c>
    </row>
    <row r="17" spans="1:256" x14ac:dyDescent="0.25">
      <c r="A17">
        <f>IF(OnDemandVsReserved!H:H,"AAAAAHQ+9wA=",0)</f>
        <v>0</v>
      </c>
      <c r="B17">
        <f>IF(OnDemandVsReserved!I:I,"AAAAAHQ+9wE=",0)</f>
        <v>0</v>
      </c>
      <c r="C17">
        <f>IF(OnDemandVsReserved!J:J,"AAAAAHQ+9wI=",0)</f>
        <v>0</v>
      </c>
      <c r="D17">
        <f>IF(OnDemandVsReserved!K:K,"AAAAAHQ+9wM=",0)</f>
        <v>0</v>
      </c>
      <c r="E17">
        <f>IF(OnDemandVsReserved!L:L,"AAAAAHQ+9wQ=",0)</f>
        <v>0</v>
      </c>
      <c r="F17">
        <f>IF(OnDemandVsReserved!M:M,"AAAAAHQ+9wU=",0)</f>
        <v>0</v>
      </c>
      <c r="G17">
        <f>IF(OnDemandVsReservedExample!1:1,"AAAAAHQ+9wY=",0)</f>
        <v>0</v>
      </c>
      <c r="H17" t="e">
        <f>AND(OnDemandVsReservedExample!A1,"AAAAAHQ+9wc=")</f>
        <v>#VALUE!</v>
      </c>
      <c r="I17" t="e">
        <f>AND(OnDemandVsReservedExample!B1,"AAAAAHQ+9wg=")</f>
        <v>#VALUE!</v>
      </c>
      <c r="J17" t="e">
        <f>AND(OnDemandVsReservedExample!C1,"AAAAAHQ+9wk=")</f>
        <v>#VALUE!</v>
      </c>
      <c r="K17" t="e">
        <f>AND(OnDemandVsReservedExample!D1,"AAAAAHQ+9wo=")</f>
        <v>#VALUE!</v>
      </c>
      <c r="L17" t="e">
        <f>AND(OnDemandVsReservedExample!E1,"AAAAAHQ+9ws=")</f>
        <v>#VALUE!</v>
      </c>
      <c r="M17" t="e">
        <f>AND(OnDemandVsReservedExample!F1,"AAAAAHQ+9ww=")</f>
        <v>#VALUE!</v>
      </c>
      <c r="N17" t="e">
        <f>AND(OnDemandVsReservedExample!G1,"AAAAAHQ+9w0=")</f>
        <v>#VALUE!</v>
      </c>
      <c r="O17" t="e">
        <f>AND(OnDemandVsReservedExample!H1,"AAAAAHQ+9w4=")</f>
        <v>#VALUE!</v>
      </c>
      <c r="P17" t="e">
        <f>AND(OnDemandVsReservedExample!I1,"AAAAAHQ+9w8=")</f>
        <v>#VALUE!</v>
      </c>
      <c r="Q17" t="e">
        <f>AND(OnDemandVsReservedExample!J1,"AAAAAHQ+9xA=")</f>
        <v>#VALUE!</v>
      </c>
      <c r="R17" t="e">
        <f>AND(OnDemandVsReservedExample!K1,"AAAAAHQ+9xE=")</f>
        <v>#VALUE!</v>
      </c>
      <c r="S17" t="e">
        <f>AND(OnDemandVsReservedExample!L1,"AAAAAHQ+9xI=")</f>
        <v>#VALUE!</v>
      </c>
      <c r="T17" t="e">
        <f>AND(OnDemandVsReservedExample!M1,"AAAAAHQ+9xM=")</f>
        <v>#VALUE!</v>
      </c>
      <c r="U17" t="e">
        <f>AND(OnDemandVsReservedExample!N1,"AAAAAHQ+9xQ=")</f>
        <v>#VALUE!</v>
      </c>
      <c r="V17" t="e">
        <f>AND(OnDemandVsReservedExample!O1,"AAAAAHQ+9xU=")</f>
        <v>#VALUE!</v>
      </c>
      <c r="W17" t="e">
        <f>AND(OnDemandVsReservedExample!P1,"AAAAAHQ+9xY=")</f>
        <v>#VALUE!</v>
      </c>
      <c r="X17" t="e">
        <f>AND(OnDemandVsReservedExample!Q1,"AAAAAHQ+9xc=")</f>
        <v>#VALUE!</v>
      </c>
      <c r="Y17">
        <f>IF(OnDemandVsReservedExample!2:2,"AAAAAHQ+9xg=",0)</f>
        <v>0</v>
      </c>
      <c r="Z17" t="e">
        <f>AND(OnDemandVsReservedExample!A2,"AAAAAHQ+9xk=")</f>
        <v>#VALUE!</v>
      </c>
      <c r="AA17" t="e">
        <f>AND(OnDemandVsReservedExample!B2,"AAAAAHQ+9xo=")</f>
        <v>#VALUE!</v>
      </c>
      <c r="AB17" t="e">
        <f>AND(OnDemandVsReservedExample!C2,"AAAAAHQ+9xs=")</f>
        <v>#VALUE!</v>
      </c>
      <c r="AC17" t="e">
        <f>AND(OnDemandVsReservedExample!D2,"AAAAAHQ+9xw=")</f>
        <v>#VALUE!</v>
      </c>
      <c r="AD17" t="e">
        <f>AND(OnDemandVsReservedExample!E2,"AAAAAHQ+9x0=")</f>
        <v>#VALUE!</v>
      </c>
      <c r="AE17" t="e">
        <f>AND(OnDemandVsReservedExample!F2,"AAAAAHQ+9x4=")</f>
        <v>#VALUE!</v>
      </c>
      <c r="AF17" t="e">
        <f>AND(OnDemandVsReservedExample!G2,"AAAAAHQ+9x8=")</f>
        <v>#VALUE!</v>
      </c>
      <c r="AG17" t="e">
        <f>AND(OnDemandVsReservedExample!H2,"AAAAAHQ+9yA=")</f>
        <v>#VALUE!</v>
      </c>
      <c r="AH17" t="e">
        <f>AND(OnDemandVsReservedExample!I2,"AAAAAHQ+9yE=")</f>
        <v>#VALUE!</v>
      </c>
      <c r="AI17" t="e">
        <f>AND(OnDemandVsReservedExample!J2,"AAAAAHQ+9yI=")</f>
        <v>#VALUE!</v>
      </c>
      <c r="AJ17" t="e">
        <f>AND(OnDemandVsReservedExample!K2,"AAAAAHQ+9yM=")</f>
        <v>#VALUE!</v>
      </c>
      <c r="AK17" t="e">
        <f>AND(OnDemandVsReservedExample!L2,"AAAAAHQ+9yQ=")</f>
        <v>#VALUE!</v>
      </c>
      <c r="AL17" t="e">
        <f>AND(OnDemandVsReservedExample!M2,"AAAAAHQ+9yU=")</f>
        <v>#VALUE!</v>
      </c>
      <c r="AM17" t="e">
        <f>AND(OnDemandVsReservedExample!N2,"AAAAAHQ+9yY=")</f>
        <v>#VALUE!</v>
      </c>
      <c r="AN17" t="e">
        <f>AND(OnDemandVsReservedExample!O2,"AAAAAHQ+9yc=")</f>
        <v>#VALUE!</v>
      </c>
      <c r="AO17" t="e">
        <f>AND(OnDemandVsReservedExample!P2,"AAAAAHQ+9yg=")</f>
        <v>#VALUE!</v>
      </c>
      <c r="AP17" t="e">
        <f>AND(OnDemandVsReservedExample!Q2,"AAAAAHQ+9yk=")</f>
        <v>#VALUE!</v>
      </c>
      <c r="AQ17">
        <f>IF(OnDemandVsReservedExample!3:3,"AAAAAHQ+9yo=",0)</f>
        <v>0</v>
      </c>
      <c r="AR17" t="e">
        <f>AND(OnDemandVsReservedExample!A3,"AAAAAHQ+9ys=")</f>
        <v>#VALUE!</v>
      </c>
      <c r="AS17" t="e">
        <f>AND(OnDemandVsReservedExample!B3,"AAAAAHQ+9yw=")</f>
        <v>#VALUE!</v>
      </c>
      <c r="AT17" t="e">
        <f>AND(OnDemandVsReservedExample!C3,"AAAAAHQ+9y0=")</f>
        <v>#VALUE!</v>
      </c>
      <c r="AU17" t="e">
        <f>AND(OnDemandVsReservedExample!D3,"AAAAAHQ+9y4=")</f>
        <v>#VALUE!</v>
      </c>
      <c r="AV17" t="e">
        <f>AND(OnDemandVsReservedExample!E3,"AAAAAHQ+9y8=")</f>
        <v>#VALUE!</v>
      </c>
      <c r="AW17" t="e">
        <f>AND(OnDemandVsReservedExample!F3,"AAAAAHQ+9zA=")</f>
        <v>#VALUE!</v>
      </c>
      <c r="AX17" t="e">
        <f>AND(OnDemandVsReservedExample!G3,"AAAAAHQ+9zE=")</f>
        <v>#VALUE!</v>
      </c>
      <c r="AY17" t="e">
        <f>AND(OnDemandVsReservedExample!H3,"AAAAAHQ+9zI=")</f>
        <v>#VALUE!</v>
      </c>
      <c r="AZ17" t="e">
        <f>AND(OnDemandVsReservedExample!I3,"AAAAAHQ+9zM=")</f>
        <v>#VALUE!</v>
      </c>
      <c r="BA17" t="e">
        <f>AND(OnDemandVsReservedExample!J3,"AAAAAHQ+9zQ=")</f>
        <v>#VALUE!</v>
      </c>
      <c r="BB17" t="e">
        <f>AND(OnDemandVsReservedExample!K3,"AAAAAHQ+9zU=")</f>
        <v>#VALUE!</v>
      </c>
      <c r="BC17" t="e">
        <f>AND(OnDemandVsReservedExample!L3,"AAAAAHQ+9zY=")</f>
        <v>#VALUE!</v>
      </c>
      <c r="BD17" t="e">
        <f>AND(OnDemandVsReservedExample!M3,"AAAAAHQ+9zc=")</f>
        <v>#VALUE!</v>
      </c>
      <c r="BE17" t="e">
        <f>AND(OnDemandVsReservedExample!N3,"AAAAAHQ+9zg=")</f>
        <v>#VALUE!</v>
      </c>
      <c r="BF17" t="e">
        <f>AND(OnDemandVsReservedExample!O3,"AAAAAHQ+9zk=")</f>
        <v>#VALUE!</v>
      </c>
      <c r="BG17" t="e">
        <f>AND(OnDemandVsReservedExample!P3,"AAAAAHQ+9zo=")</f>
        <v>#VALUE!</v>
      </c>
      <c r="BH17" t="e">
        <f>AND(OnDemandVsReservedExample!Q3,"AAAAAHQ+9zs=")</f>
        <v>#VALUE!</v>
      </c>
      <c r="BI17">
        <f>IF(OnDemandVsReservedExample!4:4,"AAAAAHQ+9zw=",0)</f>
        <v>0</v>
      </c>
      <c r="BJ17" t="e">
        <f>AND(OnDemandVsReservedExample!A4,"AAAAAHQ+9z0=")</f>
        <v>#VALUE!</v>
      </c>
      <c r="BK17" t="e">
        <f>AND(OnDemandVsReservedExample!B4,"AAAAAHQ+9z4=")</f>
        <v>#VALUE!</v>
      </c>
      <c r="BL17" t="e">
        <f>AND(OnDemandVsReservedExample!C4,"AAAAAHQ+9z8=")</f>
        <v>#VALUE!</v>
      </c>
      <c r="BM17" t="e">
        <f>AND(OnDemandVsReservedExample!D4,"AAAAAHQ+90A=")</f>
        <v>#VALUE!</v>
      </c>
      <c r="BN17" t="e">
        <f>AND(OnDemandVsReservedExample!E4,"AAAAAHQ+90E=")</f>
        <v>#VALUE!</v>
      </c>
      <c r="BO17" t="e">
        <f>AND(OnDemandVsReservedExample!F4,"AAAAAHQ+90I=")</f>
        <v>#VALUE!</v>
      </c>
      <c r="BP17" t="e">
        <f>AND(OnDemandVsReservedExample!G4,"AAAAAHQ+90M=")</f>
        <v>#VALUE!</v>
      </c>
      <c r="BQ17" t="e">
        <f>AND(OnDemandVsReservedExample!H4,"AAAAAHQ+90Q=")</f>
        <v>#VALUE!</v>
      </c>
      <c r="BR17" t="e">
        <f>AND(OnDemandVsReservedExample!I4,"AAAAAHQ+90U=")</f>
        <v>#VALUE!</v>
      </c>
      <c r="BS17" t="e">
        <f>AND(OnDemandVsReservedExample!J4,"AAAAAHQ+90Y=")</f>
        <v>#VALUE!</v>
      </c>
      <c r="BT17" t="e">
        <f>AND(OnDemandVsReservedExample!K4,"AAAAAHQ+90c=")</f>
        <v>#VALUE!</v>
      </c>
      <c r="BU17" t="e">
        <f>AND(OnDemandVsReservedExample!L4,"AAAAAHQ+90g=")</f>
        <v>#VALUE!</v>
      </c>
      <c r="BV17" t="e">
        <f>AND(OnDemandVsReservedExample!M4,"AAAAAHQ+90k=")</f>
        <v>#VALUE!</v>
      </c>
      <c r="BW17" t="e">
        <f>AND(OnDemandVsReservedExample!N4,"AAAAAHQ+90o=")</f>
        <v>#VALUE!</v>
      </c>
      <c r="BX17" t="e">
        <f>AND(OnDemandVsReservedExample!O4,"AAAAAHQ+90s=")</f>
        <v>#VALUE!</v>
      </c>
      <c r="BY17" t="e">
        <f>AND(OnDemandVsReservedExample!P4,"AAAAAHQ+90w=")</f>
        <v>#VALUE!</v>
      </c>
      <c r="BZ17" t="e">
        <f>AND(OnDemandVsReservedExample!Q4,"AAAAAHQ+900=")</f>
        <v>#VALUE!</v>
      </c>
      <c r="CA17">
        <f>IF(OnDemandVsReservedExample!5:5,"AAAAAHQ+904=",0)</f>
        <v>0</v>
      </c>
      <c r="CB17" t="e">
        <f>AND(OnDemandVsReservedExample!A5,"AAAAAHQ+908=")</f>
        <v>#VALUE!</v>
      </c>
      <c r="CC17" t="e">
        <f>AND(OnDemandVsReservedExample!B5,"AAAAAHQ+91A=")</f>
        <v>#VALUE!</v>
      </c>
      <c r="CD17" t="e">
        <f>AND(OnDemandVsReservedExample!C5,"AAAAAHQ+91E=")</f>
        <v>#VALUE!</v>
      </c>
      <c r="CE17" t="e">
        <f>AND(OnDemandVsReservedExample!D5,"AAAAAHQ+91I=")</f>
        <v>#VALUE!</v>
      </c>
      <c r="CF17" t="e">
        <f>AND(OnDemandVsReservedExample!E5,"AAAAAHQ+91M=")</f>
        <v>#VALUE!</v>
      </c>
      <c r="CG17" t="e">
        <f>AND(OnDemandVsReservedExample!F5,"AAAAAHQ+91Q=")</f>
        <v>#VALUE!</v>
      </c>
      <c r="CH17" t="e">
        <f>AND(OnDemandVsReservedExample!G5,"AAAAAHQ+91U=")</f>
        <v>#VALUE!</v>
      </c>
      <c r="CI17" t="e">
        <f>AND(OnDemandVsReservedExample!H5,"AAAAAHQ+91Y=")</f>
        <v>#VALUE!</v>
      </c>
      <c r="CJ17" t="e">
        <f>AND(OnDemandVsReservedExample!I5,"AAAAAHQ+91c=")</f>
        <v>#VALUE!</v>
      </c>
      <c r="CK17" t="e">
        <f>AND(OnDemandVsReservedExample!J5,"AAAAAHQ+91g=")</f>
        <v>#VALUE!</v>
      </c>
      <c r="CL17" t="e">
        <f>AND(OnDemandVsReservedExample!K5,"AAAAAHQ+91k=")</f>
        <v>#VALUE!</v>
      </c>
      <c r="CM17" t="e">
        <f>AND(OnDemandVsReservedExample!L5,"AAAAAHQ+91o=")</f>
        <v>#VALUE!</v>
      </c>
      <c r="CN17" t="e">
        <f>AND(OnDemandVsReservedExample!M5,"AAAAAHQ+91s=")</f>
        <v>#VALUE!</v>
      </c>
      <c r="CO17" t="e">
        <f>AND(OnDemandVsReservedExample!N5,"AAAAAHQ+91w=")</f>
        <v>#VALUE!</v>
      </c>
      <c r="CP17" t="e">
        <f>AND(OnDemandVsReservedExample!O5,"AAAAAHQ+910=")</f>
        <v>#VALUE!</v>
      </c>
      <c r="CQ17" t="e">
        <f>AND(OnDemandVsReservedExample!P5,"AAAAAHQ+914=")</f>
        <v>#VALUE!</v>
      </c>
      <c r="CR17" t="e">
        <f>AND(OnDemandVsReservedExample!Q5,"AAAAAHQ+918=")</f>
        <v>#VALUE!</v>
      </c>
      <c r="CS17">
        <f>IF(OnDemandVsReservedExample!6:6,"AAAAAHQ+92A=",0)</f>
        <v>0</v>
      </c>
      <c r="CT17" t="e">
        <f>AND(OnDemandVsReservedExample!A6,"AAAAAHQ+92E=")</f>
        <v>#VALUE!</v>
      </c>
      <c r="CU17" t="e">
        <f>AND(OnDemandVsReservedExample!B6,"AAAAAHQ+92I=")</f>
        <v>#VALUE!</v>
      </c>
      <c r="CV17" t="e">
        <f>AND(OnDemandVsReservedExample!C6,"AAAAAHQ+92M=")</f>
        <v>#VALUE!</v>
      </c>
      <c r="CW17" t="e">
        <f>AND(OnDemandVsReservedExample!D6,"AAAAAHQ+92Q=")</f>
        <v>#VALUE!</v>
      </c>
      <c r="CX17" t="e">
        <f>AND(OnDemandVsReservedExample!E6,"AAAAAHQ+92U=")</f>
        <v>#VALUE!</v>
      </c>
      <c r="CY17" t="e">
        <f>AND(OnDemandVsReservedExample!F6,"AAAAAHQ+92Y=")</f>
        <v>#VALUE!</v>
      </c>
      <c r="CZ17" t="e">
        <f>AND(OnDemandVsReservedExample!G6,"AAAAAHQ+92c=")</f>
        <v>#VALUE!</v>
      </c>
      <c r="DA17" t="e">
        <f>AND(OnDemandVsReservedExample!H6,"AAAAAHQ+92g=")</f>
        <v>#VALUE!</v>
      </c>
      <c r="DB17" t="e">
        <f>AND(OnDemandVsReservedExample!I6,"AAAAAHQ+92k=")</f>
        <v>#VALUE!</v>
      </c>
      <c r="DC17" t="e">
        <f>AND(OnDemandVsReservedExample!J6,"AAAAAHQ+92o=")</f>
        <v>#VALUE!</v>
      </c>
      <c r="DD17" t="e">
        <f>AND(OnDemandVsReservedExample!K6,"AAAAAHQ+92s=")</f>
        <v>#VALUE!</v>
      </c>
      <c r="DE17" t="e">
        <f>AND(OnDemandVsReservedExample!L6,"AAAAAHQ+92w=")</f>
        <v>#VALUE!</v>
      </c>
      <c r="DF17" t="e">
        <f>AND(OnDemandVsReservedExample!M6,"AAAAAHQ+920=")</f>
        <v>#VALUE!</v>
      </c>
      <c r="DG17" t="e">
        <f>AND(OnDemandVsReservedExample!N6,"AAAAAHQ+924=")</f>
        <v>#VALUE!</v>
      </c>
      <c r="DH17" t="e">
        <f>AND(OnDemandVsReservedExample!O6,"AAAAAHQ+928=")</f>
        <v>#VALUE!</v>
      </c>
      <c r="DI17" t="e">
        <f>AND(OnDemandVsReservedExample!P6,"AAAAAHQ+93A=")</f>
        <v>#VALUE!</v>
      </c>
      <c r="DJ17" t="e">
        <f>AND(OnDemandVsReservedExample!Q6,"AAAAAHQ+93E=")</f>
        <v>#VALUE!</v>
      </c>
      <c r="DK17">
        <f>IF(OnDemandVsReservedExample!7:7,"AAAAAHQ+93I=",0)</f>
        <v>0</v>
      </c>
      <c r="DL17" t="e">
        <f>AND(OnDemandVsReservedExample!A7,"AAAAAHQ+93M=")</f>
        <v>#VALUE!</v>
      </c>
      <c r="DM17" t="e">
        <f>AND(OnDemandVsReservedExample!B7,"AAAAAHQ+93Q=")</f>
        <v>#VALUE!</v>
      </c>
      <c r="DN17" t="e">
        <f>AND(OnDemandVsReservedExample!C7,"AAAAAHQ+93U=")</f>
        <v>#VALUE!</v>
      </c>
      <c r="DO17" t="e">
        <f>AND(OnDemandVsReservedExample!D7,"AAAAAHQ+93Y=")</f>
        <v>#VALUE!</v>
      </c>
      <c r="DP17" t="e">
        <f>AND(OnDemandVsReservedExample!E7,"AAAAAHQ+93c=")</f>
        <v>#VALUE!</v>
      </c>
      <c r="DQ17" t="e">
        <f>AND(OnDemandVsReservedExample!F7,"AAAAAHQ+93g=")</f>
        <v>#VALUE!</v>
      </c>
      <c r="DR17" t="e">
        <f>AND(OnDemandVsReservedExample!G7,"AAAAAHQ+93k=")</f>
        <v>#VALUE!</v>
      </c>
      <c r="DS17" t="e">
        <f>AND(OnDemandVsReservedExample!H7,"AAAAAHQ+93o=")</f>
        <v>#VALUE!</v>
      </c>
      <c r="DT17" t="e">
        <f>AND(OnDemandVsReservedExample!I7,"AAAAAHQ+93s=")</f>
        <v>#VALUE!</v>
      </c>
      <c r="DU17" t="e">
        <f>AND(OnDemandVsReservedExample!J7,"AAAAAHQ+93w=")</f>
        <v>#VALUE!</v>
      </c>
      <c r="DV17" t="e">
        <f>AND(OnDemandVsReservedExample!K7,"AAAAAHQ+930=")</f>
        <v>#VALUE!</v>
      </c>
      <c r="DW17" t="e">
        <f>AND(OnDemandVsReservedExample!L7,"AAAAAHQ+934=")</f>
        <v>#VALUE!</v>
      </c>
      <c r="DX17" t="e">
        <f>AND(OnDemandVsReservedExample!M7,"AAAAAHQ+938=")</f>
        <v>#VALUE!</v>
      </c>
      <c r="DY17" t="e">
        <f>AND(OnDemandVsReservedExample!N7,"AAAAAHQ+94A=")</f>
        <v>#VALUE!</v>
      </c>
      <c r="DZ17" t="e">
        <f>AND(OnDemandVsReservedExample!O7,"AAAAAHQ+94E=")</f>
        <v>#VALUE!</v>
      </c>
      <c r="EA17" t="e">
        <f>AND(OnDemandVsReservedExample!P7,"AAAAAHQ+94I=")</f>
        <v>#VALUE!</v>
      </c>
      <c r="EB17" t="e">
        <f>AND(OnDemandVsReservedExample!Q7,"AAAAAHQ+94M=")</f>
        <v>#VALUE!</v>
      </c>
      <c r="EC17">
        <f>IF(OnDemandVsReservedExample!8:8,"AAAAAHQ+94Q=",0)</f>
        <v>0</v>
      </c>
      <c r="ED17" t="e">
        <f>AND(OnDemandVsReservedExample!A8,"AAAAAHQ+94U=")</f>
        <v>#VALUE!</v>
      </c>
      <c r="EE17" t="e">
        <f>AND(OnDemandVsReservedExample!B8,"AAAAAHQ+94Y=")</f>
        <v>#VALUE!</v>
      </c>
      <c r="EF17" t="e">
        <f>AND(OnDemandVsReservedExample!C8,"AAAAAHQ+94c=")</f>
        <v>#VALUE!</v>
      </c>
      <c r="EG17" t="e">
        <f>AND(OnDemandVsReservedExample!D8,"AAAAAHQ+94g=")</f>
        <v>#VALUE!</v>
      </c>
      <c r="EH17" t="e">
        <f>AND(OnDemandVsReservedExample!E8,"AAAAAHQ+94k=")</f>
        <v>#VALUE!</v>
      </c>
      <c r="EI17" t="e">
        <f>AND(OnDemandVsReservedExample!F8,"AAAAAHQ+94o=")</f>
        <v>#VALUE!</v>
      </c>
      <c r="EJ17" t="e">
        <f>AND(OnDemandVsReservedExample!G8,"AAAAAHQ+94s=")</f>
        <v>#VALUE!</v>
      </c>
      <c r="EK17" t="e">
        <f>AND(OnDemandVsReservedExample!H8,"AAAAAHQ+94w=")</f>
        <v>#VALUE!</v>
      </c>
      <c r="EL17" t="e">
        <f>AND(OnDemandVsReservedExample!I8,"AAAAAHQ+940=")</f>
        <v>#VALUE!</v>
      </c>
      <c r="EM17" t="e">
        <f>AND(OnDemandVsReservedExample!J8,"AAAAAHQ+944=")</f>
        <v>#VALUE!</v>
      </c>
      <c r="EN17" t="e">
        <f>AND(OnDemandVsReservedExample!K8,"AAAAAHQ+948=")</f>
        <v>#VALUE!</v>
      </c>
      <c r="EO17" t="e">
        <f>AND(OnDemandVsReservedExample!L8,"AAAAAHQ+95A=")</f>
        <v>#VALUE!</v>
      </c>
      <c r="EP17" t="e">
        <f>AND(OnDemandVsReservedExample!M8,"AAAAAHQ+95E=")</f>
        <v>#VALUE!</v>
      </c>
      <c r="EQ17" t="e">
        <f>AND(OnDemandVsReservedExample!N8,"AAAAAHQ+95I=")</f>
        <v>#VALUE!</v>
      </c>
      <c r="ER17" t="e">
        <f>AND(OnDemandVsReservedExample!O8,"AAAAAHQ+95M=")</f>
        <v>#VALUE!</v>
      </c>
      <c r="ES17" t="e">
        <f>AND(OnDemandVsReservedExample!P8,"AAAAAHQ+95Q=")</f>
        <v>#VALUE!</v>
      </c>
      <c r="ET17" t="e">
        <f>AND(OnDemandVsReservedExample!Q8,"AAAAAHQ+95U=")</f>
        <v>#VALUE!</v>
      </c>
      <c r="EU17">
        <f>IF(OnDemandVsReservedExample!9:9,"AAAAAHQ+95Y=",0)</f>
        <v>0</v>
      </c>
      <c r="EV17" t="e">
        <f>AND(OnDemandVsReservedExample!A9,"AAAAAHQ+95c=")</f>
        <v>#VALUE!</v>
      </c>
      <c r="EW17" t="e">
        <f>AND(OnDemandVsReservedExample!B9,"AAAAAHQ+95g=")</f>
        <v>#VALUE!</v>
      </c>
      <c r="EX17" t="e">
        <f>AND(OnDemandVsReservedExample!C9,"AAAAAHQ+95k=")</f>
        <v>#VALUE!</v>
      </c>
      <c r="EY17" t="e">
        <f>AND(OnDemandVsReservedExample!D9,"AAAAAHQ+95o=")</f>
        <v>#VALUE!</v>
      </c>
      <c r="EZ17" t="e">
        <f>AND(OnDemandVsReservedExample!E9,"AAAAAHQ+95s=")</f>
        <v>#VALUE!</v>
      </c>
      <c r="FA17" t="e">
        <f>AND(OnDemandVsReservedExample!F9,"AAAAAHQ+95w=")</f>
        <v>#VALUE!</v>
      </c>
      <c r="FB17" t="e">
        <f>AND(OnDemandVsReservedExample!G9,"AAAAAHQ+950=")</f>
        <v>#VALUE!</v>
      </c>
      <c r="FC17" t="e">
        <f>AND(OnDemandVsReservedExample!H9,"AAAAAHQ+954=")</f>
        <v>#VALUE!</v>
      </c>
      <c r="FD17" t="e">
        <f>AND(OnDemandVsReservedExample!I9,"AAAAAHQ+958=")</f>
        <v>#VALUE!</v>
      </c>
      <c r="FE17" t="e">
        <f>AND(OnDemandVsReservedExample!J9,"AAAAAHQ+96A=")</f>
        <v>#VALUE!</v>
      </c>
      <c r="FF17" t="e">
        <f>AND(OnDemandVsReservedExample!K9,"AAAAAHQ+96E=")</f>
        <v>#VALUE!</v>
      </c>
      <c r="FG17" t="e">
        <f>AND(OnDemandVsReservedExample!L9,"AAAAAHQ+96I=")</f>
        <v>#VALUE!</v>
      </c>
      <c r="FH17" t="e">
        <f>AND(OnDemandVsReservedExample!M9,"AAAAAHQ+96M=")</f>
        <v>#VALUE!</v>
      </c>
      <c r="FI17" t="e">
        <f>AND(OnDemandVsReservedExample!N9,"AAAAAHQ+96Q=")</f>
        <v>#VALUE!</v>
      </c>
      <c r="FJ17" t="e">
        <f>AND(OnDemandVsReservedExample!O9,"AAAAAHQ+96U=")</f>
        <v>#VALUE!</v>
      </c>
      <c r="FK17" t="e">
        <f>AND(OnDemandVsReservedExample!P9,"AAAAAHQ+96Y=")</f>
        <v>#VALUE!</v>
      </c>
      <c r="FL17" t="e">
        <f>AND(OnDemandVsReservedExample!Q9,"AAAAAHQ+96c=")</f>
        <v>#VALUE!</v>
      </c>
      <c r="FM17">
        <f>IF(OnDemandVsReservedExample!10:10,"AAAAAHQ+96g=",0)</f>
        <v>0</v>
      </c>
      <c r="FN17" t="e">
        <f>AND(OnDemandVsReservedExample!A10,"AAAAAHQ+96k=")</f>
        <v>#VALUE!</v>
      </c>
      <c r="FO17" t="e">
        <f>AND(OnDemandVsReservedExample!B10,"AAAAAHQ+96o=")</f>
        <v>#VALUE!</v>
      </c>
      <c r="FP17" t="e">
        <f>AND(OnDemandVsReservedExample!C10,"AAAAAHQ+96s=")</f>
        <v>#VALUE!</v>
      </c>
      <c r="FQ17" t="e">
        <f>AND(OnDemandVsReservedExample!D10,"AAAAAHQ+96w=")</f>
        <v>#VALUE!</v>
      </c>
      <c r="FR17" t="e">
        <f>AND(OnDemandVsReservedExample!E10,"AAAAAHQ+960=")</f>
        <v>#VALUE!</v>
      </c>
      <c r="FS17" t="e">
        <f>AND(OnDemandVsReservedExample!F10,"AAAAAHQ+964=")</f>
        <v>#VALUE!</v>
      </c>
      <c r="FT17" t="e">
        <f>AND(OnDemandVsReservedExample!G10,"AAAAAHQ+968=")</f>
        <v>#VALUE!</v>
      </c>
      <c r="FU17" t="e">
        <f>AND(OnDemandVsReservedExample!H10,"AAAAAHQ+97A=")</f>
        <v>#VALUE!</v>
      </c>
      <c r="FV17" t="e">
        <f>AND(OnDemandVsReservedExample!I10,"AAAAAHQ+97E=")</f>
        <v>#VALUE!</v>
      </c>
      <c r="FW17" t="e">
        <f>AND(OnDemandVsReservedExample!J10,"AAAAAHQ+97I=")</f>
        <v>#VALUE!</v>
      </c>
      <c r="FX17" t="e">
        <f>AND(OnDemandVsReservedExample!K10,"AAAAAHQ+97M=")</f>
        <v>#VALUE!</v>
      </c>
      <c r="FY17" t="e">
        <f>AND(OnDemandVsReservedExample!L10,"AAAAAHQ+97Q=")</f>
        <v>#VALUE!</v>
      </c>
      <c r="FZ17" t="e">
        <f>AND(OnDemandVsReservedExample!M10,"AAAAAHQ+97U=")</f>
        <v>#VALUE!</v>
      </c>
      <c r="GA17" t="e">
        <f>AND(OnDemandVsReservedExample!N10,"AAAAAHQ+97Y=")</f>
        <v>#VALUE!</v>
      </c>
      <c r="GB17" t="e">
        <f>AND(OnDemandVsReservedExample!O10,"AAAAAHQ+97c=")</f>
        <v>#VALUE!</v>
      </c>
      <c r="GC17" t="e">
        <f>AND(OnDemandVsReservedExample!P10,"AAAAAHQ+97g=")</f>
        <v>#VALUE!</v>
      </c>
      <c r="GD17" t="e">
        <f>AND(OnDemandVsReservedExample!Q10,"AAAAAHQ+97k=")</f>
        <v>#VALUE!</v>
      </c>
      <c r="GE17">
        <f>IF(OnDemandVsReservedExample!11:11,"AAAAAHQ+97o=",0)</f>
        <v>0</v>
      </c>
      <c r="GF17" t="e">
        <f>AND(OnDemandVsReservedExample!A11,"AAAAAHQ+97s=")</f>
        <v>#VALUE!</v>
      </c>
      <c r="GG17" t="e">
        <f>AND(OnDemandVsReservedExample!B11,"AAAAAHQ+97w=")</f>
        <v>#VALUE!</v>
      </c>
      <c r="GH17" t="e">
        <f>AND(OnDemandVsReservedExample!C11,"AAAAAHQ+970=")</f>
        <v>#VALUE!</v>
      </c>
      <c r="GI17" t="e">
        <f>AND(OnDemandVsReservedExample!D11,"AAAAAHQ+974=")</f>
        <v>#VALUE!</v>
      </c>
      <c r="GJ17" t="e">
        <f>AND(OnDemandVsReservedExample!E11,"AAAAAHQ+978=")</f>
        <v>#VALUE!</v>
      </c>
      <c r="GK17" t="e">
        <f>AND(OnDemandVsReservedExample!F11,"AAAAAHQ+98A=")</f>
        <v>#VALUE!</v>
      </c>
      <c r="GL17" t="e">
        <f>AND(OnDemandVsReservedExample!G11,"AAAAAHQ+98E=")</f>
        <v>#VALUE!</v>
      </c>
      <c r="GM17" t="e">
        <f>AND(OnDemandVsReservedExample!H11,"AAAAAHQ+98I=")</f>
        <v>#VALUE!</v>
      </c>
      <c r="GN17" t="e">
        <f>AND(OnDemandVsReservedExample!I11,"AAAAAHQ+98M=")</f>
        <v>#VALUE!</v>
      </c>
      <c r="GO17" t="e">
        <f>AND(OnDemandVsReservedExample!J11,"AAAAAHQ+98Q=")</f>
        <v>#VALUE!</v>
      </c>
      <c r="GP17" t="e">
        <f>AND(OnDemandVsReservedExample!K11,"AAAAAHQ+98U=")</f>
        <v>#VALUE!</v>
      </c>
      <c r="GQ17" t="e">
        <f>AND(OnDemandVsReservedExample!L11,"AAAAAHQ+98Y=")</f>
        <v>#VALUE!</v>
      </c>
      <c r="GR17" t="e">
        <f>AND(OnDemandVsReservedExample!M11,"AAAAAHQ+98c=")</f>
        <v>#VALUE!</v>
      </c>
      <c r="GS17" t="e">
        <f>AND(OnDemandVsReservedExample!N11,"AAAAAHQ+98g=")</f>
        <v>#VALUE!</v>
      </c>
      <c r="GT17" t="e">
        <f>AND(OnDemandVsReservedExample!O11,"AAAAAHQ+98k=")</f>
        <v>#VALUE!</v>
      </c>
      <c r="GU17" t="e">
        <f>AND(OnDemandVsReservedExample!P11,"AAAAAHQ+98o=")</f>
        <v>#VALUE!</v>
      </c>
      <c r="GV17" t="e">
        <f>AND(OnDemandVsReservedExample!Q11,"AAAAAHQ+98s=")</f>
        <v>#VALUE!</v>
      </c>
      <c r="GW17">
        <f>IF(OnDemandVsReservedExample!12:12,"AAAAAHQ+98w=",0)</f>
        <v>0</v>
      </c>
      <c r="GX17" t="e">
        <f>AND(OnDemandVsReservedExample!A12,"AAAAAHQ+980=")</f>
        <v>#VALUE!</v>
      </c>
      <c r="GY17" t="e">
        <f>AND(OnDemandVsReservedExample!B12,"AAAAAHQ+984=")</f>
        <v>#VALUE!</v>
      </c>
      <c r="GZ17" t="e">
        <f>AND(OnDemandVsReservedExample!C12,"AAAAAHQ+988=")</f>
        <v>#VALUE!</v>
      </c>
      <c r="HA17" t="e">
        <f>AND(OnDemandVsReservedExample!D12,"AAAAAHQ+99A=")</f>
        <v>#VALUE!</v>
      </c>
      <c r="HB17" t="e">
        <f>AND(OnDemandVsReservedExample!E12,"AAAAAHQ+99E=")</f>
        <v>#VALUE!</v>
      </c>
      <c r="HC17" t="e">
        <f>AND(OnDemandVsReservedExample!F12,"AAAAAHQ+99I=")</f>
        <v>#VALUE!</v>
      </c>
      <c r="HD17" t="e">
        <f>AND(OnDemandVsReservedExample!G12,"AAAAAHQ+99M=")</f>
        <v>#VALUE!</v>
      </c>
      <c r="HE17" t="e">
        <f>AND(OnDemandVsReservedExample!H12,"AAAAAHQ+99Q=")</f>
        <v>#VALUE!</v>
      </c>
      <c r="HF17" t="e">
        <f>AND(OnDemandVsReservedExample!I12,"AAAAAHQ+99U=")</f>
        <v>#VALUE!</v>
      </c>
      <c r="HG17" t="e">
        <f>AND(OnDemandVsReservedExample!J12,"AAAAAHQ+99Y=")</f>
        <v>#VALUE!</v>
      </c>
      <c r="HH17" t="e">
        <f>AND(OnDemandVsReservedExample!K12,"AAAAAHQ+99c=")</f>
        <v>#VALUE!</v>
      </c>
      <c r="HI17" t="e">
        <f>AND(OnDemandVsReservedExample!L12,"AAAAAHQ+99g=")</f>
        <v>#VALUE!</v>
      </c>
      <c r="HJ17" t="e">
        <f>AND(OnDemandVsReservedExample!M12,"AAAAAHQ+99k=")</f>
        <v>#VALUE!</v>
      </c>
      <c r="HK17" t="e">
        <f>AND(OnDemandVsReservedExample!N12,"AAAAAHQ+99o=")</f>
        <v>#VALUE!</v>
      </c>
      <c r="HL17" t="e">
        <f>AND(OnDemandVsReservedExample!O12,"AAAAAHQ+99s=")</f>
        <v>#VALUE!</v>
      </c>
      <c r="HM17" t="e">
        <f>AND(OnDemandVsReservedExample!P12,"AAAAAHQ+99w=")</f>
        <v>#VALUE!</v>
      </c>
      <c r="HN17" t="e">
        <f>AND(OnDemandVsReservedExample!Q12,"AAAAAHQ+990=")</f>
        <v>#VALUE!</v>
      </c>
      <c r="HO17">
        <f>IF(OnDemandVsReservedExample!13:13,"AAAAAHQ+994=",0)</f>
        <v>0</v>
      </c>
      <c r="HP17" t="e">
        <f>AND(OnDemandVsReservedExample!A13,"AAAAAHQ+998=")</f>
        <v>#VALUE!</v>
      </c>
      <c r="HQ17" t="e">
        <f>AND(OnDemandVsReservedExample!B13,"AAAAAHQ+9+A=")</f>
        <v>#VALUE!</v>
      </c>
      <c r="HR17" t="e">
        <f>AND(OnDemandVsReservedExample!C13,"AAAAAHQ+9+E=")</f>
        <v>#VALUE!</v>
      </c>
      <c r="HS17" t="e">
        <f>AND(OnDemandVsReservedExample!D13,"AAAAAHQ+9+I=")</f>
        <v>#VALUE!</v>
      </c>
      <c r="HT17" t="e">
        <f>AND(OnDemandVsReservedExample!E13,"AAAAAHQ+9+M=")</f>
        <v>#VALUE!</v>
      </c>
      <c r="HU17" t="e">
        <f>AND(OnDemandVsReservedExample!F13,"AAAAAHQ+9+Q=")</f>
        <v>#VALUE!</v>
      </c>
      <c r="HV17" t="e">
        <f>AND(OnDemandVsReservedExample!G13,"AAAAAHQ+9+U=")</f>
        <v>#VALUE!</v>
      </c>
      <c r="HW17" t="e">
        <f>AND(OnDemandVsReservedExample!H13,"AAAAAHQ+9+Y=")</f>
        <v>#VALUE!</v>
      </c>
      <c r="HX17" t="e">
        <f>AND(OnDemandVsReservedExample!I13,"AAAAAHQ+9+c=")</f>
        <v>#VALUE!</v>
      </c>
      <c r="HY17" t="e">
        <f>AND(OnDemandVsReservedExample!J13,"AAAAAHQ+9+g=")</f>
        <v>#VALUE!</v>
      </c>
      <c r="HZ17" t="e">
        <f>AND(OnDemandVsReservedExample!K13,"AAAAAHQ+9+k=")</f>
        <v>#VALUE!</v>
      </c>
      <c r="IA17" t="e">
        <f>AND(OnDemandVsReservedExample!L13,"AAAAAHQ+9+o=")</f>
        <v>#VALUE!</v>
      </c>
      <c r="IB17" t="e">
        <f>AND(OnDemandVsReservedExample!M13,"AAAAAHQ+9+s=")</f>
        <v>#VALUE!</v>
      </c>
      <c r="IC17" t="e">
        <f>AND(OnDemandVsReservedExample!N13,"AAAAAHQ+9+w=")</f>
        <v>#VALUE!</v>
      </c>
      <c r="ID17" t="e">
        <f>AND(OnDemandVsReservedExample!O13,"AAAAAHQ+9+0=")</f>
        <v>#VALUE!</v>
      </c>
      <c r="IE17" t="e">
        <f>AND(OnDemandVsReservedExample!P13,"AAAAAHQ+9+4=")</f>
        <v>#VALUE!</v>
      </c>
      <c r="IF17" t="e">
        <f>AND(OnDemandVsReservedExample!Q13,"AAAAAHQ+9+8=")</f>
        <v>#VALUE!</v>
      </c>
      <c r="IG17">
        <f>IF(OnDemandVsReservedExample!14:14,"AAAAAHQ+9/A=",0)</f>
        <v>0</v>
      </c>
      <c r="IH17" t="e">
        <f>AND(OnDemandVsReservedExample!A14,"AAAAAHQ+9/E=")</f>
        <v>#VALUE!</v>
      </c>
      <c r="II17" t="e">
        <f>AND(OnDemandVsReservedExample!B14,"AAAAAHQ+9/I=")</f>
        <v>#VALUE!</v>
      </c>
      <c r="IJ17" t="e">
        <f>AND(OnDemandVsReservedExample!C14,"AAAAAHQ+9/M=")</f>
        <v>#VALUE!</v>
      </c>
      <c r="IK17" t="e">
        <f>AND(OnDemandVsReservedExample!D14,"AAAAAHQ+9/Q=")</f>
        <v>#VALUE!</v>
      </c>
      <c r="IL17" t="e">
        <f>AND(OnDemandVsReservedExample!E14,"AAAAAHQ+9/U=")</f>
        <v>#VALUE!</v>
      </c>
      <c r="IM17" t="e">
        <f>AND(OnDemandVsReservedExample!F14,"AAAAAHQ+9/Y=")</f>
        <v>#VALUE!</v>
      </c>
      <c r="IN17" t="e">
        <f>AND(OnDemandVsReservedExample!G14,"AAAAAHQ+9/c=")</f>
        <v>#VALUE!</v>
      </c>
      <c r="IO17" t="e">
        <f>AND(OnDemandVsReservedExample!H14,"AAAAAHQ+9/g=")</f>
        <v>#VALUE!</v>
      </c>
      <c r="IP17" t="e">
        <f>AND(OnDemandVsReservedExample!I14,"AAAAAHQ+9/k=")</f>
        <v>#VALUE!</v>
      </c>
      <c r="IQ17" t="e">
        <f>AND(OnDemandVsReservedExample!J14,"AAAAAHQ+9/o=")</f>
        <v>#VALUE!</v>
      </c>
      <c r="IR17" t="e">
        <f>AND(OnDemandVsReservedExample!K14,"AAAAAHQ+9/s=")</f>
        <v>#VALUE!</v>
      </c>
      <c r="IS17" t="e">
        <f>AND(OnDemandVsReservedExample!L14,"AAAAAHQ+9/w=")</f>
        <v>#VALUE!</v>
      </c>
      <c r="IT17" t="e">
        <f>AND(OnDemandVsReservedExample!M14,"AAAAAHQ+9/0=")</f>
        <v>#VALUE!</v>
      </c>
      <c r="IU17" t="e">
        <f>AND(OnDemandVsReservedExample!N14,"AAAAAHQ+9/4=")</f>
        <v>#VALUE!</v>
      </c>
      <c r="IV17" t="e">
        <f>AND(OnDemandVsReservedExample!O14,"AAAAAHQ+9/8=")</f>
        <v>#VALUE!</v>
      </c>
    </row>
    <row r="18" spans="1:256" x14ac:dyDescent="0.25">
      <c r="A18" t="e">
        <f>AND(OnDemandVsReservedExample!P14,"AAAAAD977wA=")</f>
        <v>#VALUE!</v>
      </c>
      <c r="B18" t="e">
        <f>AND(OnDemandVsReservedExample!Q14,"AAAAAD977wE=")</f>
        <v>#VALUE!</v>
      </c>
      <c r="C18">
        <f>IF(OnDemandVsReservedExample!15:15,"AAAAAD977wI=",0)</f>
        <v>0</v>
      </c>
      <c r="D18" t="e">
        <f>AND(OnDemandVsReservedExample!A15,"AAAAAD977wM=")</f>
        <v>#VALUE!</v>
      </c>
      <c r="E18" t="e">
        <f>AND(OnDemandVsReservedExample!B15,"AAAAAD977wQ=")</f>
        <v>#VALUE!</v>
      </c>
      <c r="F18" t="e">
        <f>AND(OnDemandVsReservedExample!C15,"AAAAAD977wU=")</f>
        <v>#VALUE!</v>
      </c>
      <c r="G18" t="e">
        <f>AND(OnDemandVsReservedExample!D15,"AAAAAD977wY=")</f>
        <v>#VALUE!</v>
      </c>
      <c r="H18" t="e">
        <f>AND(OnDemandVsReservedExample!E15,"AAAAAD977wc=")</f>
        <v>#VALUE!</v>
      </c>
      <c r="I18" t="e">
        <f>AND(OnDemandVsReservedExample!F15,"AAAAAD977wg=")</f>
        <v>#VALUE!</v>
      </c>
      <c r="J18" t="e">
        <f>AND(OnDemandVsReservedExample!G15,"AAAAAD977wk=")</f>
        <v>#VALUE!</v>
      </c>
      <c r="K18" t="e">
        <f>AND(OnDemandVsReservedExample!H15,"AAAAAD977wo=")</f>
        <v>#VALUE!</v>
      </c>
      <c r="L18" t="e">
        <f>AND(OnDemandVsReservedExample!I15,"AAAAAD977ws=")</f>
        <v>#VALUE!</v>
      </c>
      <c r="M18" t="e">
        <f>AND(OnDemandVsReservedExample!J15,"AAAAAD977ww=")</f>
        <v>#VALUE!</v>
      </c>
      <c r="N18" t="e">
        <f>AND(OnDemandVsReservedExample!K15,"AAAAAD977w0=")</f>
        <v>#VALUE!</v>
      </c>
      <c r="O18" t="e">
        <f>AND(OnDemandVsReservedExample!L15,"AAAAAD977w4=")</f>
        <v>#VALUE!</v>
      </c>
      <c r="P18" t="e">
        <f>AND(OnDemandVsReservedExample!M15,"AAAAAD977w8=")</f>
        <v>#VALUE!</v>
      </c>
      <c r="Q18" t="e">
        <f>AND(OnDemandVsReservedExample!N15,"AAAAAD977xA=")</f>
        <v>#VALUE!</v>
      </c>
      <c r="R18" t="e">
        <f>AND(OnDemandVsReservedExample!O15,"AAAAAD977xE=")</f>
        <v>#VALUE!</v>
      </c>
      <c r="S18" t="e">
        <f>AND(OnDemandVsReservedExample!P15,"AAAAAD977xI=")</f>
        <v>#VALUE!</v>
      </c>
      <c r="T18" t="e">
        <f>AND(OnDemandVsReservedExample!Q15,"AAAAAD977xM=")</f>
        <v>#VALUE!</v>
      </c>
      <c r="U18">
        <f>IF(OnDemandVsReservedExample!16:16,"AAAAAD977xQ=",0)</f>
        <v>0</v>
      </c>
      <c r="V18" t="e">
        <f>AND(OnDemandVsReservedExample!A16,"AAAAAD977xU=")</f>
        <v>#VALUE!</v>
      </c>
      <c r="W18" t="e">
        <f>AND(OnDemandVsReservedExample!B16,"AAAAAD977xY=")</f>
        <v>#VALUE!</v>
      </c>
      <c r="X18" t="e">
        <f>AND(OnDemandVsReservedExample!C16,"AAAAAD977xc=")</f>
        <v>#VALUE!</v>
      </c>
      <c r="Y18" t="e">
        <f>AND(OnDemandVsReservedExample!D16,"AAAAAD977xg=")</f>
        <v>#VALUE!</v>
      </c>
      <c r="Z18" t="e">
        <f>AND(OnDemandVsReservedExample!E16,"AAAAAD977xk=")</f>
        <v>#VALUE!</v>
      </c>
      <c r="AA18" t="e">
        <f>AND(OnDemandVsReservedExample!F16,"AAAAAD977xo=")</f>
        <v>#VALUE!</v>
      </c>
      <c r="AB18" t="e">
        <f>AND(OnDemandVsReservedExample!G16,"AAAAAD977xs=")</f>
        <v>#VALUE!</v>
      </c>
      <c r="AC18" t="e">
        <f>AND(OnDemandVsReservedExample!H16,"AAAAAD977xw=")</f>
        <v>#VALUE!</v>
      </c>
      <c r="AD18" t="e">
        <f>AND(OnDemandVsReservedExample!I16,"AAAAAD977x0=")</f>
        <v>#VALUE!</v>
      </c>
      <c r="AE18" t="e">
        <f>AND(OnDemandVsReservedExample!J16,"AAAAAD977x4=")</f>
        <v>#VALUE!</v>
      </c>
      <c r="AF18" t="e">
        <f>AND(OnDemandVsReservedExample!K16,"AAAAAD977x8=")</f>
        <v>#VALUE!</v>
      </c>
      <c r="AG18" t="e">
        <f>AND(OnDemandVsReservedExample!L16,"AAAAAD977yA=")</f>
        <v>#VALUE!</v>
      </c>
      <c r="AH18" t="e">
        <f>AND(OnDemandVsReservedExample!M16,"AAAAAD977yE=")</f>
        <v>#VALUE!</v>
      </c>
      <c r="AI18" t="e">
        <f>AND(OnDemandVsReservedExample!N16,"AAAAAD977yI=")</f>
        <v>#VALUE!</v>
      </c>
      <c r="AJ18" t="e">
        <f>AND(OnDemandVsReservedExample!O16,"AAAAAD977yM=")</f>
        <v>#VALUE!</v>
      </c>
      <c r="AK18" t="e">
        <f>AND(OnDemandVsReservedExample!P16,"AAAAAD977yQ=")</f>
        <v>#VALUE!</v>
      </c>
      <c r="AL18" t="e">
        <f>AND(OnDemandVsReservedExample!Q16,"AAAAAD977yU=")</f>
        <v>#VALUE!</v>
      </c>
      <c r="AM18">
        <f>IF(OnDemandVsReservedExample!17:17,"AAAAAD977yY=",0)</f>
        <v>0</v>
      </c>
      <c r="AN18" t="e">
        <f>AND(OnDemandVsReservedExample!A17,"AAAAAD977yc=")</f>
        <v>#VALUE!</v>
      </c>
      <c r="AO18" t="e">
        <f>AND(OnDemandVsReservedExample!B17,"AAAAAD977yg=")</f>
        <v>#VALUE!</v>
      </c>
      <c r="AP18" t="e">
        <f>AND(OnDemandVsReservedExample!C17,"AAAAAD977yk=")</f>
        <v>#VALUE!</v>
      </c>
      <c r="AQ18" t="e">
        <f>AND(OnDemandVsReservedExample!D17,"AAAAAD977yo=")</f>
        <v>#VALUE!</v>
      </c>
      <c r="AR18" t="e">
        <f>AND(OnDemandVsReservedExample!E17,"AAAAAD977ys=")</f>
        <v>#VALUE!</v>
      </c>
      <c r="AS18" t="e">
        <f>AND(OnDemandVsReservedExample!F17,"AAAAAD977yw=")</f>
        <v>#VALUE!</v>
      </c>
      <c r="AT18" t="e">
        <f>AND(OnDemandVsReservedExample!G17,"AAAAAD977y0=")</f>
        <v>#VALUE!</v>
      </c>
      <c r="AU18" t="e">
        <f>AND(OnDemandVsReservedExample!H17,"AAAAAD977y4=")</f>
        <v>#VALUE!</v>
      </c>
      <c r="AV18" t="e">
        <f>AND(OnDemandVsReservedExample!I17,"AAAAAD977y8=")</f>
        <v>#VALUE!</v>
      </c>
      <c r="AW18" t="e">
        <f>AND(OnDemandVsReservedExample!J17,"AAAAAD977zA=")</f>
        <v>#VALUE!</v>
      </c>
      <c r="AX18" t="e">
        <f>AND(OnDemandVsReservedExample!K17,"AAAAAD977zE=")</f>
        <v>#VALUE!</v>
      </c>
      <c r="AY18" t="e">
        <f>AND(OnDemandVsReservedExample!L17,"AAAAAD977zI=")</f>
        <v>#VALUE!</v>
      </c>
      <c r="AZ18" t="e">
        <f>AND(OnDemandVsReservedExample!M17,"AAAAAD977zM=")</f>
        <v>#VALUE!</v>
      </c>
      <c r="BA18" t="e">
        <f>AND(OnDemandVsReservedExample!N17,"AAAAAD977zQ=")</f>
        <v>#VALUE!</v>
      </c>
      <c r="BB18" t="e">
        <f>AND(OnDemandVsReservedExample!O17,"AAAAAD977zU=")</f>
        <v>#VALUE!</v>
      </c>
      <c r="BC18" t="e">
        <f>AND(OnDemandVsReservedExample!P17,"AAAAAD977zY=")</f>
        <v>#VALUE!</v>
      </c>
      <c r="BD18" t="e">
        <f>AND(OnDemandVsReservedExample!Q17,"AAAAAD977zc=")</f>
        <v>#VALUE!</v>
      </c>
      <c r="BE18">
        <f>IF(OnDemandVsReservedExample!18:18,"AAAAAD977zg=",0)</f>
        <v>0</v>
      </c>
      <c r="BF18" t="e">
        <f>AND(OnDemandVsReservedExample!A18,"AAAAAD977zk=")</f>
        <v>#VALUE!</v>
      </c>
      <c r="BG18" t="e">
        <f>AND(OnDemandVsReservedExample!B18,"AAAAAD977zo=")</f>
        <v>#VALUE!</v>
      </c>
      <c r="BH18" t="e">
        <f>AND(OnDemandVsReservedExample!C18,"AAAAAD977zs=")</f>
        <v>#VALUE!</v>
      </c>
      <c r="BI18" t="e">
        <f>AND(OnDemandVsReservedExample!D18,"AAAAAD977zw=")</f>
        <v>#VALUE!</v>
      </c>
      <c r="BJ18" t="e">
        <f>AND(OnDemandVsReservedExample!E18,"AAAAAD977z0=")</f>
        <v>#VALUE!</v>
      </c>
      <c r="BK18" t="e">
        <f>AND(OnDemandVsReservedExample!F18,"AAAAAD977z4=")</f>
        <v>#VALUE!</v>
      </c>
      <c r="BL18" t="e">
        <f>AND(OnDemandVsReservedExample!G18,"AAAAAD977z8=")</f>
        <v>#VALUE!</v>
      </c>
      <c r="BM18" t="e">
        <f>AND(OnDemandVsReservedExample!H18,"AAAAAD9770A=")</f>
        <v>#VALUE!</v>
      </c>
      <c r="BN18" t="e">
        <f>AND(OnDemandVsReservedExample!I18,"AAAAAD9770E=")</f>
        <v>#VALUE!</v>
      </c>
      <c r="BO18" t="e">
        <f>AND(OnDemandVsReservedExample!J18,"AAAAAD9770I=")</f>
        <v>#VALUE!</v>
      </c>
      <c r="BP18" t="e">
        <f>AND(OnDemandVsReservedExample!K18,"AAAAAD9770M=")</f>
        <v>#VALUE!</v>
      </c>
      <c r="BQ18" t="e">
        <f>AND(OnDemandVsReservedExample!L18,"AAAAAD9770Q=")</f>
        <v>#VALUE!</v>
      </c>
      <c r="BR18" t="e">
        <f>AND(OnDemandVsReservedExample!M18,"AAAAAD9770U=")</f>
        <v>#VALUE!</v>
      </c>
      <c r="BS18" t="e">
        <f>AND(OnDemandVsReservedExample!N18,"AAAAAD9770Y=")</f>
        <v>#VALUE!</v>
      </c>
      <c r="BT18" t="e">
        <f>AND(OnDemandVsReservedExample!O18,"AAAAAD9770c=")</f>
        <v>#VALUE!</v>
      </c>
      <c r="BU18" t="e">
        <f>AND(OnDemandVsReservedExample!P18,"AAAAAD9770g=")</f>
        <v>#VALUE!</v>
      </c>
      <c r="BV18" t="e">
        <f>AND(OnDemandVsReservedExample!Q18,"AAAAAD9770k=")</f>
        <v>#VALUE!</v>
      </c>
      <c r="BW18">
        <f>IF(OnDemandVsReservedExample!19:19,"AAAAAD9770o=",0)</f>
        <v>0</v>
      </c>
      <c r="BX18" t="e">
        <f>AND(OnDemandVsReservedExample!A19,"AAAAAD9770s=")</f>
        <v>#VALUE!</v>
      </c>
      <c r="BY18" t="e">
        <f>AND(OnDemandVsReservedExample!B19,"AAAAAD9770w=")</f>
        <v>#VALUE!</v>
      </c>
      <c r="BZ18" t="e">
        <f>AND(OnDemandVsReservedExample!C19,"AAAAAD97700=")</f>
        <v>#VALUE!</v>
      </c>
      <c r="CA18" t="e">
        <f>AND(OnDemandVsReservedExample!D19,"AAAAAD97704=")</f>
        <v>#VALUE!</v>
      </c>
      <c r="CB18" t="e">
        <f>AND(OnDemandVsReservedExample!E19,"AAAAAD97708=")</f>
        <v>#VALUE!</v>
      </c>
      <c r="CC18" t="e">
        <f>AND(OnDemandVsReservedExample!F19,"AAAAAD9771A=")</f>
        <v>#VALUE!</v>
      </c>
      <c r="CD18" t="e">
        <f>AND(OnDemandVsReservedExample!G19,"AAAAAD9771E=")</f>
        <v>#VALUE!</v>
      </c>
      <c r="CE18" t="e">
        <f>AND(OnDemandVsReservedExample!H19,"AAAAAD9771I=")</f>
        <v>#VALUE!</v>
      </c>
      <c r="CF18" t="e">
        <f>AND(OnDemandVsReservedExample!I19,"AAAAAD9771M=")</f>
        <v>#VALUE!</v>
      </c>
      <c r="CG18" t="e">
        <f>AND(OnDemandVsReservedExample!J19,"AAAAAD9771Q=")</f>
        <v>#VALUE!</v>
      </c>
      <c r="CH18" t="e">
        <f>AND(OnDemandVsReservedExample!K19,"AAAAAD9771U=")</f>
        <v>#VALUE!</v>
      </c>
      <c r="CI18" t="e">
        <f>AND(OnDemandVsReservedExample!L19,"AAAAAD9771Y=")</f>
        <v>#VALUE!</v>
      </c>
      <c r="CJ18" t="e">
        <f>AND(OnDemandVsReservedExample!M19,"AAAAAD9771c=")</f>
        <v>#VALUE!</v>
      </c>
      <c r="CK18" t="e">
        <f>AND(OnDemandVsReservedExample!N19,"AAAAAD9771g=")</f>
        <v>#VALUE!</v>
      </c>
      <c r="CL18" t="e">
        <f>AND(OnDemandVsReservedExample!O19,"AAAAAD9771k=")</f>
        <v>#VALUE!</v>
      </c>
      <c r="CM18" t="e">
        <f>AND(OnDemandVsReservedExample!P19,"AAAAAD9771o=")</f>
        <v>#VALUE!</v>
      </c>
      <c r="CN18" t="e">
        <f>AND(OnDemandVsReservedExample!Q19,"AAAAAD9771s=")</f>
        <v>#VALUE!</v>
      </c>
      <c r="CO18">
        <f>IF(OnDemandVsReservedExample!20:20,"AAAAAD9771w=",0)</f>
        <v>0</v>
      </c>
      <c r="CP18" t="e">
        <f>AND(OnDemandVsReservedExample!A20,"AAAAAD97710=")</f>
        <v>#VALUE!</v>
      </c>
      <c r="CQ18" t="e">
        <f>AND(OnDemandVsReservedExample!B20,"AAAAAD97714=")</f>
        <v>#VALUE!</v>
      </c>
      <c r="CR18" t="e">
        <f>AND(OnDemandVsReservedExample!C20,"AAAAAD97718=")</f>
        <v>#VALUE!</v>
      </c>
      <c r="CS18" t="e">
        <f>AND(OnDemandVsReservedExample!D20,"AAAAAD9772A=")</f>
        <v>#VALUE!</v>
      </c>
      <c r="CT18" t="e">
        <f>AND(OnDemandVsReservedExample!E20,"AAAAAD9772E=")</f>
        <v>#VALUE!</v>
      </c>
      <c r="CU18" t="e">
        <f>AND(OnDemandVsReservedExample!F20,"AAAAAD9772I=")</f>
        <v>#VALUE!</v>
      </c>
      <c r="CV18" t="e">
        <f>AND(OnDemandVsReservedExample!G20,"AAAAAD9772M=")</f>
        <v>#VALUE!</v>
      </c>
      <c r="CW18" t="e">
        <f>AND(OnDemandVsReservedExample!H20,"AAAAAD9772Q=")</f>
        <v>#VALUE!</v>
      </c>
      <c r="CX18" t="e">
        <f>AND(OnDemandVsReservedExample!I20,"AAAAAD9772U=")</f>
        <v>#VALUE!</v>
      </c>
      <c r="CY18" t="e">
        <f>AND(OnDemandVsReservedExample!J20,"AAAAAD9772Y=")</f>
        <v>#VALUE!</v>
      </c>
      <c r="CZ18" t="e">
        <f>AND(OnDemandVsReservedExample!K20,"AAAAAD9772c=")</f>
        <v>#VALUE!</v>
      </c>
      <c r="DA18" t="e">
        <f>AND(OnDemandVsReservedExample!L20,"AAAAAD9772g=")</f>
        <v>#VALUE!</v>
      </c>
      <c r="DB18" t="e">
        <f>AND(OnDemandVsReservedExample!M20,"AAAAAD9772k=")</f>
        <v>#VALUE!</v>
      </c>
      <c r="DC18" t="e">
        <f>AND(OnDemandVsReservedExample!N20,"AAAAAD9772o=")</f>
        <v>#VALUE!</v>
      </c>
      <c r="DD18" t="e">
        <f>AND(OnDemandVsReservedExample!O20,"AAAAAD9772s=")</f>
        <v>#VALUE!</v>
      </c>
      <c r="DE18" t="e">
        <f>AND(OnDemandVsReservedExample!P20,"AAAAAD9772w=")</f>
        <v>#VALUE!</v>
      </c>
      <c r="DF18" t="e">
        <f>AND(OnDemandVsReservedExample!Q20,"AAAAAD97720=")</f>
        <v>#VALUE!</v>
      </c>
      <c r="DG18">
        <f>IF(OnDemandVsReservedExample!21:21,"AAAAAD97724=",0)</f>
        <v>0</v>
      </c>
      <c r="DH18" t="e">
        <f>AND(OnDemandVsReservedExample!A21,"AAAAAD97728=")</f>
        <v>#VALUE!</v>
      </c>
      <c r="DI18" t="e">
        <f>AND(OnDemandVsReservedExample!B21,"AAAAAD9773A=")</f>
        <v>#VALUE!</v>
      </c>
      <c r="DJ18" t="e">
        <f>AND(OnDemandVsReservedExample!C21,"AAAAAD9773E=")</f>
        <v>#VALUE!</v>
      </c>
      <c r="DK18" t="e">
        <f>AND(OnDemandVsReservedExample!D21,"AAAAAD9773I=")</f>
        <v>#VALUE!</v>
      </c>
      <c r="DL18" t="e">
        <f>AND(OnDemandVsReservedExample!E21,"AAAAAD9773M=")</f>
        <v>#VALUE!</v>
      </c>
      <c r="DM18" t="e">
        <f>AND(OnDemandVsReservedExample!F21,"AAAAAD9773Q=")</f>
        <v>#VALUE!</v>
      </c>
      <c r="DN18" t="e">
        <f>AND(OnDemandVsReservedExample!G21,"AAAAAD9773U=")</f>
        <v>#VALUE!</v>
      </c>
      <c r="DO18" t="e">
        <f>AND(OnDemandVsReservedExample!H21,"AAAAAD9773Y=")</f>
        <v>#VALUE!</v>
      </c>
      <c r="DP18" t="e">
        <f>AND(OnDemandVsReservedExample!I21,"AAAAAD9773c=")</f>
        <v>#VALUE!</v>
      </c>
      <c r="DQ18" t="e">
        <f>AND(OnDemandVsReservedExample!J21,"AAAAAD9773g=")</f>
        <v>#VALUE!</v>
      </c>
      <c r="DR18" t="e">
        <f>AND(OnDemandVsReservedExample!K21,"AAAAAD9773k=")</f>
        <v>#VALUE!</v>
      </c>
      <c r="DS18" t="e">
        <f>AND(OnDemandVsReservedExample!L21,"AAAAAD9773o=")</f>
        <v>#VALUE!</v>
      </c>
      <c r="DT18" t="e">
        <f>AND(OnDemandVsReservedExample!M21,"AAAAAD9773s=")</f>
        <v>#VALUE!</v>
      </c>
      <c r="DU18" t="e">
        <f>AND(OnDemandVsReservedExample!N21,"AAAAAD9773w=")</f>
        <v>#VALUE!</v>
      </c>
      <c r="DV18" t="e">
        <f>AND(OnDemandVsReservedExample!O21,"AAAAAD97730=")</f>
        <v>#VALUE!</v>
      </c>
      <c r="DW18" t="e">
        <f>AND(OnDemandVsReservedExample!P21,"AAAAAD97734=")</f>
        <v>#VALUE!</v>
      </c>
      <c r="DX18" t="e">
        <f>AND(OnDemandVsReservedExample!Q21,"AAAAAD97738=")</f>
        <v>#VALUE!</v>
      </c>
      <c r="DY18">
        <f>IF(OnDemandVsReservedExample!22:22,"AAAAAD9774A=",0)</f>
        <v>0</v>
      </c>
      <c r="DZ18" t="e">
        <f>AND(OnDemandVsReservedExample!A22,"AAAAAD9774E=")</f>
        <v>#VALUE!</v>
      </c>
      <c r="EA18" t="e">
        <f>AND(OnDemandVsReservedExample!B22,"AAAAAD9774I=")</f>
        <v>#VALUE!</v>
      </c>
      <c r="EB18" t="e">
        <f>AND(OnDemandVsReservedExample!C22,"AAAAAD9774M=")</f>
        <v>#VALUE!</v>
      </c>
      <c r="EC18" t="e">
        <f>AND(OnDemandVsReservedExample!D22,"AAAAAD9774Q=")</f>
        <v>#VALUE!</v>
      </c>
      <c r="ED18" t="e">
        <f>AND(OnDemandVsReservedExample!E22,"AAAAAD9774U=")</f>
        <v>#VALUE!</v>
      </c>
      <c r="EE18" t="e">
        <f>AND(OnDemandVsReservedExample!F22,"AAAAAD9774Y=")</f>
        <v>#VALUE!</v>
      </c>
      <c r="EF18" t="e">
        <f>AND(OnDemandVsReservedExample!G22,"AAAAAD9774c=")</f>
        <v>#VALUE!</v>
      </c>
      <c r="EG18" t="e">
        <f>AND(OnDemandVsReservedExample!H22,"AAAAAD9774g=")</f>
        <v>#VALUE!</v>
      </c>
      <c r="EH18" t="e">
        <f>AND(OnDemandVsReservedExample!I22,"AAAAAD9774k=")</f>
        <v>#VALUE!</v>
      </c>
      <c r="EI18" t="e">
        <f>AND(OnDemandVsReservedExample!J22,"AAAAAD9774o=")</f>
        <v>#VALUE!</v>
      </c>
      <c r="EJ18" t="e">
        <f>AND(OnDemandVsReservedExample!K22,"AAAAAD9774s=")</f>
        <v>#VALUE!</v>
      </c>
      <c r="EK18" t="e">
        <f>AND(OnDemandVsReservedExample!L22,"AAAAAD9774w=")</f>
        <v>#VALUE!</v>
      </c>
      <c r="EL18" t="e">
        <f>AND(OnDemandVsReservedExample!M22,"AAAAAD97740=")</f>
        <v>#VALUE!</v>
      </c>
      <c r="EM18" t="e">
        <f>AND(OnDemandVsReservedExample!N22,"AAAAAD97744=")</f>
        <v>#VALUE!</v>
      </c>
      <c r="EN18" t="e">
        <f>AND(OnDemandVsReservedExample!O22,"AAAAAD97748=")</f>
        <v>#VALUE!</v>
      </c>
      <c r="EO18" t="e">
        <f>AND(OnDemandVsReservedExample!P22,"AAAAAD9775A=")</f>
        <v>#VALUE!</v>
      </c>
      <c r="EP18" t="e">
        <f>AND(OnDemandVsReservedExample!Q22,"AAAAAD9775E=")</f>
        <v>#VALUE!</v>
      </c>
      <c r="EQ18">
        <f>IF(OnDemandVsReservedExample!23:23,"AAAAAD9775I=",0)</f>
        <v>0</v>
      </c>
      <c r="ER18" t="e">
        <f>AND(OnDemandVsReservedExample!A23,"AAAAAD9775M=")</f>
        <v>#VALUE!</v>
      </c>
      <c r="ES18" t="e">
        <f>AND(OnDemandVsReservedExample!B23,"AAAAAD9775Q=")</f>
        <v>#VALUE!</v>
      </c>
      <c r="ET18" t="e">
        <f>AND(OnDemandVsReservedExample!C23,"AAAAAD9775U=")</f>
        <v>#VALUE!</v>
      </c>
      <c r="EU18" t="e">
        <f>AND(OnDemandVsReservedExample!D23,"AAAAAD9775Y=")</f>
        <v>#VALUE!</v>
      </c>
      <c r="EV18" t="e">
        <f>AND(OnDemandVsReservedExample!E23,"AAAAAD9775c=")</f>
        <v>#VALUE!</v>
      </c>
      <c r="EW18" t="e">
        <f>AND(OnDemandVsReservedExample!F23,"AAAAAD9775g=")</f>
        <v>#VALUE!</v>
      </c>
      <c r="EX18" t="e">
        <f>AND(OnDemandVsReservedExample!G23,"AAAAAD9775k=")</f>
        <v>#VALUE!</v>
      </c>
      <c r="EY18" t="e">
        <f>AND(OnDemandVsReservedExample!H23,"AAAAAD9775o=")</f>
        <v>#VALUE!</v>
      </c>
      <c r="EZ18" t="e">
        <f>AND(OnDemandVsReservedExample!I23,"AAAAAD9775s=")</f>
        <v>#VALUE!</v>
      </c>
      <c r="FA18" t="e">
        <f>AND(OnDemandVsReservedExample!J23,"AAAAAD9775w=")</f>
        <v>#VALUE!</v>
      </c>
      <c r="FB18" t="e">
        <f>AND(OnDemandVsReservedExample!K23,"AAAAAD97750=")</f>
        <v>#VALUE!</v>
      </c>
      <c r="FC18" t="e">
        <f>AND(OnDemandVsReservedExample!L23,"AAAAAD97754=")</f>
        <v>#VALUE!</v>
      </c>
      <c r="FD18" t="e">
        <f>AND(OnDemandVsReservedExample!M23,"AAAAAD97758=")</f>
        <v>#VALUE!</v>
      </c>
      <c r="FE18" t="e">
        <f>AND(OnDemandVsReservedExample!N23,"AAAAAD9776A=")</f>
        <v>#VALUE!</v>
      </c>
      <c r="FF18" t="e">
        <f>AND(OnDemandVsReservedExample!O23,"AAAAAD9776E=")</f>
        <v>#VALUE!</v>
      </c>
      <c r="FG18" t="e">
        <f>AND(OnDemandVsReservedExample!P23,"AAAAAD9776I=")</f>
        <v>#VALUE!</v>
      </c>
      <c r="FH18" t="e">
        <f>AND(OnDemandVsReservedExample!Q23,"AAAAAD9776M=")</f>
        <v>#VALUE!</v>
      </c>
      <c r="FI18">
        <f>IF(OnDemandVsReservedExample!24:24,"AAAAAD9776Q=",0)</f>
        <v>0</v>
      </c>
      <c r="FJ18" t="e">
        <f>AND(OnDemandVsReservedExample!A24,"AAAAAD9776U=")</f>
        <v>#VALUE!</v>
      </c>
      <c r="FK18" t="e">
        <f>AND(OnDemandVsReservedExample!B24,"AAAAAD9776Y=")</f>
        <v>#VALUE!</v>
      </c>
      <c r="FL18" t="e">
        <f>AND(OnDemandVsReservedExample!C24,"AAAAAD9776c=")</f>
        <v>#VALUE!</v>
      </c>
      <c r="FM18" t="e">
        <f>AND(OnDemandVsReservedExample!D24,"AAAAAD9776g=")</f>
        <v>#VALUE!</v>
      </c>
      <c r="FN18" t="e">
        <f>AND(OnDemandVsReservedExample!E24,"AAAAAD9776k=")</f>
        <v>#VALUE!</v>
      </c>
      <c r="FO18" t="e">
        <f>AND(OnDemandVsReservedExample!F24,"AAAAAD9776o=")</f>
        <v>#VALUE!</v>
      </c>
      <c r="FP18" t="e">
        <f>AND(OnDemandVsReservedExample!G24,"AAAAAD9776s=")</f>
        <v>#VALUE!</v>
      </c>
      <c r="FQ18" t="e">
        <f>AND(OnDemandVsReservedExample!H24,"AAAAAD9776w=")</f>
        <v>#VALUE!</v>
      </c>
      <c r="FR18" t="e">
        <f>AND(OnDemandVsReservedExample!I24,"AAAAAD97760=")</f>
        <v>#VALUE!</v>
      </c>
      <c r="FS18" t="e">
        <f>AND(OnDemandVsReservedExample!J24,"AAAAAD97764=")</f>
        <v>#VALUE!</v>
      </c>
      <c r="FT18" t="e">
        <f>AND(OnDemandVsReservedExample!K24,"AAAAAD97768=")</f>
        <v>#VALUE!</v>
      </c>
      <c r="FU18" t="e">
        <f>AND(OnDemandVsReservedExample!L24,"AAAAAD9777A=")</f>
        <v>#VALUE!</v>
      </c>
      <c r="FV18" t="e">
        <f>AND(OnDemandVsReservedExample!M24,"AAAAAD9777E=")</f>
        <v>#VALUE!</v>
      </c>
      <c r="FW18" t="e">
        <f>AND(OnDemandVsReservedExample!N24,"AAAAAD9777I=")</f>
        <v>#VALUE!</v>
      </c>
      <c r="FX18" t="e">
        <f>AND(OnDemandVsReservedExample!O24,"AAAAAD9777M=")</f>
        <v>#VALUE!</v>
      </c>
      <c r="FY18" t="e">
        <f>AND(OnDemandVsReservedExample!P24,"AAAAAD9777Q=")</f>
        <v>#VALUE!</v>
      </c>
      <c r="FZ18" t="e">
        <f>AND(OnDemandVsReservedExample!Q24,"AAAAAD9777U=")</f>
        <v>#VALUE!</v>
      </c>
      <c r="GA18">
        <f>IF(OnDemandVsReservedExample!25:25,"AAAAAD9777Y=",0)</f>
        <v>0</v>
      </c>
      <c r="GB18" t="e">
        <f>AND(OnDemandVsReservedExample!A25,"AAAAAD9777c=")</f>
        <v>#VALUE!</v>
      </c>
      <c r="GC18" t="e">
        <f>AND(OnDemandVsReservedExample!B25,"AAAAAD9777g=")</f>
        <v>#VALUE!</v>
      </c>
      <c r="GD18" t="e">
        <f>AND(OnDemandVsReservedExample!C25,"AAAAAD9777k=")</f>
        <v>#VALUE!</v>
      </c>
      <c r="GE18" t="e">
        <f>AND(OnDemandVsReservedExample!D25,"AAAAAD9777o=")</f>
        <v>#VALUE!</v>
      </c>
      <c r="GF18" t="e">
        <f>AND(OnDemandVsReservedExample!E25,"AAAAAD9777s=")</f>
        <v>#VALUE!</v>
      </c>
      <c r="GG18" t="e">
        <f>AND(OnDemandVsReservedExample!F25,"AAAAAD9777w=")</f>
        <v>#VALUE!</v>
      </c>
      <c r="GH18" t="e">
        <f>AND(OnDemandVsReservedExample!G25,"AAAAAD97770=")</f>
        <v>#VALUE!</v>
      </c>
      <c r="GI18" t="e">
        <f>AND(OnDemandVsReservedExample!H25,"AAAAAD97774=")</f>
        <v>#VALUE!</v>
      </c>
      <c r="GJ18" t="e">
        <f>AND(OnDemandVsReservedExample!I25,"AAAAAD97778=")</f>
        <v>#VALUE!</v>
      </c>
      <c r="GK18" t="e">
        <f>AND(OnDemandVsReservedExample!J25,"AAAAAD9778A=")</f>
        <v>#VALUE!</v>
      </c>
      <c r="GL18" t="e">
        <f>AND(OnDemandVsReservedExample!K25,"AAAAAD9778E=")</f>
        <v>#VALUE!</v>
      </c>
      <c r="GM18" t="e">
        <f>AND(OnDemandVsReservedExample!L25,"AAAAAD9778I=")</f>
        <v>#VALUE!</v>
      </c>
      <c r="GN18" t="e">
        <f>AND(OnDemandVsReservedExample!M25,"AAAAAD9778M=")</f>
        <v>#VALUE!</v>
      </c>
      <c r="GO18" t="e">
        <f>AND(OnDemandVsReservedExample!N25,"AAAAAD9778Q=")</f>
        <v>#VALUE!</v>
      </c>
      <c r="GP18" t="e">
        <f>AND(OnDemandVsReservedExample!O25,"AAAAAD9778U=")</f>
        <v>#VALUE!</v>
      </c>
      <c r="GQ18" t="e">
        <f>AND(OnDemandVsReservedExample!P25,"AAAAAD9778Y=")</f>
        <v>#VALUE!</v>
      </c>
      <c r="GR18" t="e">
        <f>AND(OnDemandVsReservedExample!Q25,"AAAAAD9778c=")</f>
        <v>#VALUE!</v>
      </c>
      <c r="GS18">
        <f>IF(OnDemandVsReservedExample!26:26,"AAAAAD9778g=",0)</f>
        <v>0</v>
      </c>
      <c r="GT18" t="e">
        <f>AND(OnDemandVsReservedExample!A26,"AAAAAD9778k=")</f>
        <v>#VALUE!</v>
      </c>
      <c r="GU18" t="e">
        <f>AND(OnDemandVsReservedExample!B26,"AAAAAD9778o=")</f>
        <v>#VALUE!</v>
      </c>
      <c r="GV18" t="e">
        <f>AND(OnDemandVsReservedExample!C26,"AAAAAD9778s=")</f>
        <v>#VALUE!</v>
      </c>
      <c r="GW18" t="e">
        <f>AND(OnDemandVsReservedExample!D26,"AAAAAD9778w=")</f>
        <v>#VALUE!</v>
      </c>
      <c r="GX18" t="e">
        <f>AND(OnDemandVsReservedExample!E26,"AAAAAD97780=")</f>
        <v>#VALUE!</v>
      </c>
      <c r="GY18" t="e">
        <f>AND(OnDemandVsReservedExample!F26,"AAAAAD97784=")</f>
        <v>#VALUE!</v>
      </c>
      <c r="GZ18" t="e">
        <f>AND(OnDemandVsReservedExample!G26,"AAAAAD97788=")</f>
        <v>#VALUE!</v>
      </c>
      <c r="HA18" t="e">
        <f>AND(OnDemandVsReservedExample!H26,"AAAAAD9779A=")</f>
        <v>#VALUE!</v>
      </c>
      <c r="HB18" t="e">
        <f>AND(OnDemandVsReservedExample!I26,"AAAAAD9779E=")</f>
        <v>#VALUE!</v>
      </c>
      <c r="HC18" t="e">
        <f>AND(OnDemandVsReservedExample!J26,"AAAAAD9779I=")</f>
        <v>#VALUE!</v>
      </c>
      <c r="HD18" t="e">
        <f>AND(OnDemandVsReservedExample!K26,"AAAAAD9779M=")</f>
        <v>#VALUE!</v>
      </c>
      <c r="HE18" t="e">
        <f>AND(OnDemandVsReservedExample!L26,"AAAAAD9779Q=")</f>
        <v>#VALUE!</v>
      </c>
      <c r="HF18" t="e">
        <f>AND(OnDemandVsReservedExample!M26,"AAAAAD9779U=")</f>
        <v>#VALUE!</v>
      </c>
      <c r="HG18" t="e">
        <f>AND(OnDemandVsReservedExample!N26,"AAAAAD9779Y=")</f>
        <v>#VALUE!</v>
      </c>
      <c r="HH18" t="e">
        <f>AND(OnDemandVsReservedExample!O26,"AAAAAD9779c=")</f>
        <v>#VALUE!</v>
      </c>
      <c r="HI18" t="e">
        <f>AND(OnDemandVsReservedExample!P26,"AAAAAD9779g=")</f>
        <v>#VALUE!</v>
      </c>
      <c r="HJ18" t="e">
        <f>AND(OnDemandVsReservedExample!Q26,"AAAAAD9779k=")</f>
        <v>#VALUE!</v>
      </c>
      <c r="HK18">
        <f>IF(OnDemandVsReservedExample!27:27,"AAAAAD9779o=",0)</f>
        <v>0</v>
      </c>
      <c r="HL18" t="e">
        <f>AND(OnDemandVsReservedExample!A27,"AAAAAD9779s=")</f>
        <v>#VALUE!</v>
      </c>
      <c r="HM18" t="e">
        <f>AND(OnDemandVsReservedExample!B27,"AAAAAD9779w=")</f>
        <v>#VALUE!</v>
      </c>
      <c r="HN18" t="e">
        <f>AND(OnDemandVsReservedExample!C27,"AAAAAD97790=")</f>
        <v>#VALUE!</v>
      </c>
      <c r="HO18" t="e">
        <f>AND(OnDemandVsReservedExample!D27,"AAAAAD97794=")</f>
        <v>#VALUE!</v>
      </c>
      <c r="HP18" t="e">
        <f>AND(OnDemandVsReservedExample!E27,"AAAAAD97798=")</f>
        <v>#VALUE!</v>
      </c>
      <c r="HQ18" t="e">
        <f>AND(OnDemandVsReservedExample!F27,"AAAAAD977+A=")</f>
        <v>#VALUE!</v>
      </c>
      <c r="HR18" t="e">
        <f>AND(OnDemandVsReservedExample!G27,"AAAAAD977+E=")</f>
        <v>#VALUE!</v>
      </c>
      <c r="HS18" t="e">
        <f>AND(OnDemandVsReservedExample!H27,"AAAAAD977+I=")</f>
        <v>#VALUE!</v>
      </c>
      <c r="HT18" t="e">
        <f>AND(OnDemandVsReservedExample!I27,"AAAAAD977+M=")</f>
        <v>#VALUE!</v>
      </c>
      <c r="HU18" t="e">
        <f>AND(OnDemandVsReservedExample!J27,"AAAAAD977+Q=")</f>
        <v>#VALUE!</v>
      </c>
      <c r="HV18" t="e">
        <f>AND(OnDemandVsReservedExample!K27,"AAAAAD977+U=")</f>
        <v>#VALUE!</v>
      </c>
      <c r="HW18" t="e">
        <f>AND(OnDemandVsReservedExample!L27,"AAAAAD977+Y=")</f>
        <v>#VALUE!</v>
      </c>
      <c r="HX18" t="e">
        <f>AND(OnDemandVsReservedExample!M27,"AAAAAD977+c=")</f>
        <v>#VALUE!</v>
      </c>
      <c r="HY18" t="e">
        <f>AND(OnDemandVsReservedExample!N27,"AAAAAD977+g=")</f>
        <v>#VALUE!</v>
      </c>
      <c r="HZ18" t="e">
        <f>AND(OnDemandVsReservedExample!O27,"AAAAAD977+k=")</f>
        <v>#VALUE!</v>
      </c>
      <c r="IA18" t="e">
        <f>AND(OnDemandVsReservedExample!P27,"AAAAAD977+o=")</f>
        <v>#VALUE!</v>
      </c>
      <c r="IB18" t="e">
        <f>AND(OnDemandVsReservedExample!Q27,"AAAAAD977+s=")</f>
        <v>#VALUE!</v>
      </c>
      <c r="IC18">
        <f>IF(OnDemandVsReservedExample!28:28,"AAAAAD977+w=",0)</f>
        <v>0</v>
      </c>
      <c r="ID18" t="e">
        <f>AND(OnDemandVsReservedExample!A28,"AAAAAD977+0=")</f>
        <v>#VALUE!</v>
      </c>
      <c r="IE18" t="e">
        <f>AND(OnDemandVsReservedExample!B28,"AAAAAD977+4=")</f>
        <v>#VALUE!</v>
      </c>
      <c r="IF18" t="e">
        <f>AND(OnDemandVsReservedExample!C28,"AAAAAD977+8=")</f>
        <v>#VALUE!</v>
      </c>
      <c r="IG18" t="e">
        <f>AND(OnDemandVsReservedExample!D28,"AAAAAD977/A=")</f>
        <v>#VALUE!</v>
      </c>
      <c r="IH18" t="e">
        <f>AND(OnDemandVsReservedExample!E28,"AAAAAD977/E=")</f>
        <v>#VALUE!</v>
      </c>
      <c r="II18" t="e">
        <f>AND(OnDemandVsReservedExample!F28,"AAAAAD977/I=")</f>
        <v>#VALUE!</v>
      </c>
      <c r="IJ18" t="e">
        <f>AND(OnDemandVsReservedExample!G28,"AAAAAD977/M=")</f>
        <v>#VALUE!</v>
      </c>
      <c r="IK18" t="e">
        <f>AND(OnDemandVsReservedExample!H28,"AAAAAD977/Q=")</f>
        <v>#VALUE!</v>
      </c>
      <c r="IL18" t="e">
        <f>AND(OnDemandVsReservedExample!I28,"AAAAAD977/U=")</f>
        <v>#VALUE!</v>
      </c>
      <c r="IM18" t="e">
        <f>AND(OnDemandVsReservedExample!J28,"AAAAAD977/Y=")</f>
        <v>#VALUE!</v>
      </c>
      <c r="IN18" t="e">
        <f>AND(OnDemandVsReservedExample!K28,"AAAAAD977/c=")</f>
        <v>#VALUE!</v>
      </c>
      <c r="IO18" t="e">
        <f>AND(OnDemandVsReservedExample!L28,"AAAAAD977/g=")</f>
        <v>#VALUE!</v>
      </c>
      <c r="IP18" t="e">
        <f>AND(OnDemandVsReservedExample!M28,"AAAAAD977/k=")</f>
        <v>#VALUE!</v>
      </c>
      <c r="IQ18" t="e">
        <f>AND(OnDemandVsReservedExample!N28,"AAAAAD977/o=")</f>
        <v>#VALUE!</v>
      </c>
      <c r="IR18" t="e">
        <f>AND(OnDemandVsReservedExample!O28,"AAAAAD977/s=")</f>
        <v>#VALUE!</v>
      </c>
      <c r="IS18" t="e">
        <f>AND(OnDemandVsReservedExample!P28,"AAAAAD977/w=")</f>
        <v>#VALUE!</v>
      </c>
      <c r="IT18" t="e">
        <f>AND(OnDemandVsReservedExample!Q28,"AAAAAD977/0=")</f>
        <v>#VALUE!</v>
      </c>
      <c r="IU18">
        <f>IF(OnDemandVsReservedExample!29:29,"AAAAAD977/4=",0)</f>
        <v>0</v>
      </c>
      <c r="IV18" t="e">
        <f>AND(OnDemandVsReservedExample!A29,"AAAAAD977/8=")</f>
        <v>#VALUE!</v>
      </c>
    </row>
    <row r="19" spans="1:256" x14ac:dyDescent="0.25">
      <c r="A19" t="e">
        <f>AND(OnDemandVsReservedExample!B29,"AAAAAHjfnwA=")</f>
        <v>#VALUE!</v>
      </c>
      <c r="B19" t="e">
        <f>AND(OnDemandVsReservedExample!C29,"AAAAAHjfnwE=")</f>
        <v>#VALUE!</v>
      </c>
      <c r="C19" t="e">
        <f>AND(OnDemandVsReservedExample!D29,"AAAAAHjfnwI=")</f>
        <v>#VALUE!</v>
      </c>
      <c r="D19" t="e">
        <f>AND(OnDemandVsReservedExample!E29,"AAAAAHjfnwM=")</f>
        <v>#VALUE!</v>
      </c>
      <c r="E19" t="e">
        <f>AND(OnDemandVsReservedExample!F29,"AAAAAHjfnwQ=")</f>
        <v>#VALUE!</v>
      </c>
      <c r="F19" t="e">
        <f>AND(OnDemandVsReservedExample!G29,"AAAAAHjfnwU=")</f>
        <v>#VALUE!</v>
      </c>
      <c r="G19" t="e">
        <f>AND(OnDemandVsReservedExample!H29,"AAAAAHjfnwY=")</f>
        <v>#VALUE!</v>
      </c>
      <c r="H19" t="e">
        <f>AND(OnDemandVsReservedExample!I29,"AAAAAHjfnwc=")</f>
        <v>#VALUE!</v>
      </c>
      <c r="I19" t="e">
        <f>AND(OnDemandVsReservedExample!J29,"AAAAAHjfnwg=")</f>
        <v>#VALUE!</v>
      </c>
      <c r="J19" t="e">
        <f>AND(OnDemandVsReservedExample!K29,"AAAAAHjfnwk=")</f>
        <v>#VALUE!</v>
      </c>
      <c r="K19" t="e">
        <f>AND(OnDemandVsReservedExample!L29,"AAAAAHjfnwo=")</f>
        <v>#VALUE!</v>
      </c>
      <c r="L19" t="e">
        <f>AND(OnDemandVsReservedExample!M29,"AAAAAHjfnws=")</f>
        <v>#VALUE!</v>
      </c>
      <c r="M19" t="e">
        <f>AND(OnDemandVsReservedExample!N29,"AAAAAHjfnww=")</f>
        <v>#VALUE!</v>
      </c>
      <c r="N19" t="e">
        <f>AND(OnDemandVsReservedExample!O29,"AAAAAHjfnw0=")</f>
        <v>#VALUE!</v>
      </c>
      <c r="O19" t="e">
        <f>AND(OnDemandVsReservedExample!P29,"AAAAAHjfnw4=")</f>
        <v>#VALUE!</v>
      </c>
      <c r="P19" t="e">
        <f>AND(OnDemandVsReservedExample!Q29,"AAAAAHjfnw8=")</f>
        <v>#VALUE!</v>
      </c>
      <c r="Q19" t="str">
        <f>IF(OnDemandVsReservedExample!30:30,"AAAAAHjfnxA=",0)</f>
        <v>AAAAAHjfnxA=</v>
      </c>
      <c r="R19" t="e">
        <f>AND(OnDemandVsReservedExample!A30,"AAAAAHjfnxE=")</f>
        <v>#VALUE!</v>
      </c>
      <c r="S19" t="e">
        <f>AND(OnDemandVsReservedExample!B30,"AAAAAHjfnxI=")</f>
        <v>#VALUE!</v>
      </c>
      <c r="T19" t="e">
        <f>AND(OnDemandVsReservedExample!C30,"AAAAAHjfnxM=")</f>
        <v>#VALUE!</v>
      </c>
      <c r="U19" t="e">
        <f>AND(OnDemandVsReservedExample!D30,"AAAAAHjfnxQ=")</f>
        <v>#VALUE!</v>
      </c>
      <c r="V19" t="e">
        <f>AND(OnDemandVsReservedExample!E30,"AAAAAHjfnxU=")</f>
        <v>#VALUE!</v>
      </c>
      <c r="W19" t="e">
        <f>AND(OnDemandVsReservedExample!F30,"AAAAAHjfnxY=")</f>
        <v>#VALUE!</v>
      </c>
      <c r="X19" t="e">
        <f>AND(OnDemandVsReservedExample!G30,"AAAAAHjfnxc=")</f>
        <v>#VALUE!</v>
      </c>
      <c r="Y19" t="e">
        <f>AND(OnDemandVsReservedExample!H30,"AAAAAHjfnxg=")</f>
        <v>#VALUE!</v>
      </c>
      <c r="Z19" t="e">
        <f>AND(OnDemandVsReservedExample!I30,"AAAAAHjfnxk=")</f>
        <v>#VALUE!</v>
      </c>
      <c r="AA19" t="e">
        <f>AND(OnDemandVsReservedExample!J30,"AAAAAHjfnxo=")</f>
        <v>#VALUE!</v>
      </c>
      <c r="AB19" t="e">
        <f>AND(OnDemandVsReservedExample!K30,"AAAAAHjfnxs=")</f>
        <v>#VALUE!</v>
      </c>
      <c r="AC19" t="e">
        <f>AND(OnDemandVsReservedExample!L30,"AAAAAHjfnxw=")</f>
        <v>#VALUE!</v>
      </c>
      <c r="AD19" t="e">
        <f>AND(OnDemandVsReservedExample!M30,"AAAAAHjfnx0=")</f>
        <v>#VALUE!</v>
      </c>
      <c r="AE19" t="e">
        <f>AND(OnDemandVsReservedExample!N30,"AAAAAHjfnx4=")</f>
        <v>#VALUE!</v>
      </c>
      <c r="AF19" t="e">
        <f>AND(OnDemandVsReservedExample!O30,"AAAAAHjfnx8=")</f>
        <v>#VALUE!</v>
      </c>
      <c r="AG19" t="e">
        <f>AND(OnDemandVsReservedExample!P30,"AAAAAHjfnyA=")</f>
        <v>#VALUE!</v>
      </c>
      <c r="AH19" t="e">
        <f>AND(OnDemandVsReservedExample!Q30,"AAAAAHjfnyE=")</f>
        <v>#VALUE!</v>
      </c>
      <c r="AI19">
        <f>IF(OnDemandVsReservedExample!31:31,"AAAAAHjfnyI=",0)</f>
        <v>0</v>
      </c>
      <c r="AJ19" t="e">
        <f>AND(OnDemandVsReservedExample!A31,"AAAAAHjfnyM=")</f>
        <v>#VALUE!</v>
      </c>
      <c r="AK19" t="e">
        <f>AND(OnDemandVsReservedExample!B31,"AAAAAHjfnyQ=")</f>
        <v>#VALUE!</v>
      </c>
      <c r="AL19" t="e">
        <f>AND(OnDemandVsReservedExample!C31,"AAAAAHjfnyU=")</f>
        <v>#VALUE!</v>
      </c>
      <c r="AM19" t="e">
        <f>AND(OnDemandVsReservedExample!D31,"AAAAAHjfnyY=")</f>
        <v>#VALUE!</v>
      </c>
      <c r="AN19" t="e">
        <f>AND(OnDemandVsReservedExample!E31,"AAAAAHjfnyc=")</f>
        <v>#VALUE!</v>
      </c>
      <c r="AO19" t="e">
        <f>AND(OnDemandVsReservedExample!F31,"AAAAAHjfnyg=")</f>
        <v>#VALUE!</v>
      </c>
      <c r="AP19" t="e">
        <f>AND(OnDemandVsReservedExample!G31,"AAAAAHjfnyk=")</f>
        <v>#VALUE!</v>
      </c>
      <c r="AQ19" t="e">
        <f>AND(OnDemandVsReservedExample!H31,"AAAAAHjfnyo=")</f>
        <v>#VALUE!</v>
      </c>
      <c r="AR19" t="e">
        <f>AND(OnDemandVsReservedExample!I31,"AAAAAHjfnys=")</f>
        <v>#VALUE!</v>
      </c>
      <c r="AS19" t="e">
        <f>AND(OnDemandVsReservedExample!J31,"AAAAAHjfnyw=")</f>
        <v>#VALUE!</v>
      </c>
      <c r="AT19" t="e">
        <f>AND(OnDemandVsReservedExample!K31,"AAAAAHjfny0=")</f>
        <v>#VALUE!</v>
      </c>
      <c r="AU19" t="e">
        <f>AND(OnDemandVsReservedExample!L31,"AAAAAHjfny4=")</f>
        <v>#VALUE!</v>
      </c>
      <c r="AV19" t="e">
        <f>AND(OnDemandVsReservedExample!M31,"AAAAAHjfny8=")</f>
        <v>#VALUE!</v>
      </c>
      <c r="AW19" t="e">
        <f>AND(OnDemandVsReservedExample!N31,"AAAAAHjfnzA=")</f>
        <v>#VALUE!</v>
      </c>
      <c r="AX19" t="e">
        <f>AND(OnDemandVsReservedExample!O31,"AAAAAHjfnzE=")</f>
        <v>#VALUE!</v>
      </c>
      <c r="AY19" t="e">
        <f>AND(OnDemandVsReservedExample!P31,"AAAAAHjfnzI=")</f>
        <v>#VALUE!</v>
      </c>
      <c r="AZ19" t="e">
        <f>AND(OnDemandVsReservedExample!Q31,"AAAAAHjfnzM=")</f>
        <v>#VALUE!</v>
      </c>
      <c r="BA19">
        <f>IF(OnDemandVsReservedExample!32:32,"AAAAAHjfnzQ=",0)</f>
        <v>0</v>
      </c>
      <c r="BB19" t="e">
        <f>AND(OnDemandVsReservedExample!A32,"AAAAAHjfnzU=")</f>
        <v>#VALUE!</v>
      </c>
      <c r="BC19" t="e">
        <f>AND(OnDemandVsReservedExample!B32,"AAAAAHjfnzY=")</f>
        <v>#VALUE!</v>
      </c>
      <c r="BD19" t="e">
        <f>AND(OnDemandVsReservedExample!C32,"AAAAAHjfnzc=")</f>
        <v>#VALUE!</v>
      </c>
      <c r="BE19" t="e">
        <f>AND(OnDemandVsReservedExample!D32,"AAAAAHjfnzg=")</f>
        <v>#VALUE!</v>
      </c>
      <c r="BF19" t="e">
        <f>AND(OnDemandVsReservedExample!E32,"AAAAAHjfnzk=")</f>
        <v>#VALUE!</v>
      </c>
      <c r="BG19" t="e">
        <f>AND(OnDemandVsReservedExample!F32,"AAAAAHjfnzo=")</f>
        <v>#VALUE!</v>
      </c>
      <c r="BH19" t="e">
        <f>AND(OnDemandVsReservedExample!G32,"AAAAAHjfnzs=")</f>
        <v>#VALUE!</v>
      </c>
      <c r="BI19" t="e">
        <f>AND(OnDemandVsReservedExample!H32,"AAAAAHjfnzw=")</f>
        <v>#VALUE!</v>
      </c>
      <c r="BJ19" t="e">
        <f>AND(OnDemandVsReservedExample!I32,"AAAAAHjfnz0=")</f>
        <v>#VALUE!</v>
      </c>
      <c r="BK19" t="e">
        <f>AND(OnDemandVsReservedExample!J32,"AAAAAHjfnz4=")</f>
        <v>#VALUE!</v>
      </c>
      <c r="BL19" t="e">
        <f>AND(OnDemandVsReservedExample!K32,"AAAAAHjfnz8=")</f>
        <v>#VALUE!</v>
      </c>
      <c r="BM19" t="e">
        <f>AND(OnDemandVsReservedExample!L32,"AAAAAHjfn0A=")</f>
        <v>#VALUE!</v>
      </c>
      <c r="BN19" t="e">
        <f>AND(OnDemandVsReservedExample!M32,"AAAAAHjfn0E=")</f>
        <v>#VALUE!</v>
      </c>
      <c r="BO19" t="e">
        <f>AND(OnDemandVsReservedExample!N32,"AAAAAHjfn0I=")</f>
        <v>#VALUE!</v>
      </c>
      <c r="BP19" t="e">
        <f>AND(OnDemandVsReservedExample!O32,"AAAAAHjfn0M=")</f>
        <v>#VALUE!</v>
      </c>
      <c r="BQ19" t="e">
        <f>AND(OnDemandVsReservedExample!P32,"AAAAAHjfn0Q=")</f>
        <v>#VALUE!</v>
      </c>
      <c r="BR19" t="e">
        <f>AND(OnDemandVsReservedExample!Q32,"AAAAAHjfn0U=")</f>
        <v>#VALUE!</v>
      </c>
      <c r="BS19">
        <f>IF(OnDemandVsReservedExample!33:33,"AAAAAHjfn0Y=",0)</f>
        <v>0</v>
      </c>
      <c r="BT19" t="e">
        <f>AND(OnDemandVsReservedExample!A33,"AAAAAHjfn0c=")</f>
        <v>#VALUE!</v>
      </c>
      <c r="BU19" t="e">
        <f>AND(OnDemandVsReservedExample!B33,"AAAAAHjfn0g=")</f>
        <v>#VALUE!</v>
      </c>
      <c r="BV19" t="e">
        <f>AND(OnDemandVsReservedExample!C33,"AAAAAHjfn0k=")</f>
        <v>#VALUE!</v>
      </c>
      <c r="BW19" t="e">
        <f>AND(OnDemandVsReservedExample!D33,"AAAAAHjfn0o=")</f>
        <v>#VALUE!</v>
      </c>
      <c r="BX19" t="e">
        <f>AND(OnDemandVsReservedExample!E33,"AAAAAHjfn0s=")</f>
        <v>#VALUE!</v>
      </c>
      <c r="BY19" t="e">
        <f>AND(OnDemandVsReservedExample!F33,"AAAAAHjfn0w=")</f>
        <v>#VALUE!</v>
      </c>
      <c r="BZ19" t="e">
        <f>AND(OnDemandVsReservedExample!G33,"AAAAAHjfn00=")</f>
        <v>#VALUE!</v>
      </c>
      <c r="CA19" t="e">
        <f>AND(OnDemandVsReservedExample!H33,"AAAAAHjfn04=")</f>
        <v>#VALUE!</v>
      </c>
      <c r="CB19" t="e">
        <f>AND(OnDemandVsReservedExample!I33,"AAAAAHjfn08=")</f>
        <v>#VALUE!</v>
      </c>
      <c r="CC19" t="e">
        <f>AND(OnDemandVsReservedExample!J33,"AAAAAHjfn1A=")</f>
        <v>#VALUE!</v>
      </c>
      <c r="CD19" t="e">
        <f>AND(OnDemandVsReservedExample!K33,"AAAAAHjfn1E=")</f>
        <v>#VALUE!</v>
      </c>
      <c r="CE19" t="e">
        <f>AND(OnDemandVsReservedExample!L33,"AAAAAHjfn1I=")</f>
        <v>#VALUE!</v>
      </c>
      <c r="CF19" t="e">
        <f>AND(OnDemandVsReservedExample!M33,"AAAAAHjfn1M=")</f>
        <v>#VALUE!</v>
      </c>
      <c r="CG19" t="e">
        <f>AND(OnDemandVsReservedExample!N33,"AAAAAHjfn1Q=")</f>
        <v>#VALUE!</v>
      </c>
      <c r="CH19" t="e">
        <f>AND(OnDemandVsReservedExample!O33,"AAAAAHjfn1U=")</f>
        <v>#VALUE!</v>
      </c>
      <c r="CI19" t="e">
        <f>AND(OnDemandVsReservedExample!P33,"AAAAAHjfn1Y=")</f>
        <v>#VALUE!</v>
      </c>
      <c r="CJ19" t="e">
        <f>AND(OnDemandVsReservedExample!Q33,"AAAAAHjfn1c=")</f>
        <v>#VALUE!</v>
      </c>
      <c r="CK19">
        <f>IF(OnDemandVsReservedExample!34:34,"AAAAAHjfn1g=",0)</f>
        <v>0</v>
      </c>
      <c r="CL19" t="e">
        <f>AND(OnDemandVsReservedExample!A34,"AAAAAHjfn1k=")</f>
        <v>#VALUE!</v>
      </c>
      <c r="CM19" t="e">
        <f>AND(OnDemandVsReservedExample!B34,"AAAAAHjfn1o=")</f>
        <v>#VALUE!</v>
      </c>
      <c r="CN19" t="e">
        <f>AND(OnDemandVsReservedExample!C34,"AAAAAHjfn1s=")</f>
        <v>#VALUE!</v>
      </c>
      <c r="CO19" t="e">
        <f>AND(OnDemandVsReservedExample!D34,"AAAAAHjfn1w=")</f>
        <v>#VALUE!</v>
      </c>
      <c r="CP19" t="e">
        <f>AND(OnDemandVsReservedExample!E34,"AAAAAHjfn10=")</f>
        <v>#VALUE!</v>
      </c>
      <c r="CQ19" t="e">
        <f>AND(OnDemandVsReservedExample!F34,"AAAAAHjfn14=")</f>
        <v>#VALUE!</v>
      </c>
      <c r="CR19" t="e">
        <f>AND(OnDemandVsReservedExample!G34,"AAAAAHjfn18=")</f>
        <v>#VALUE!</v>
      </c>
      <c r="CS19" t="e">
        <f>AND(OnDemandVsReservedExample!H34,"AAAAAHjfn2A=")</f>
        <v>#VALUE!</v>
      </c>
      <c r="CT19" t="e">
        <f>AND(OnDemandVsReservedExample!I34,"AAAAAHjfn2E=")</f>
        <v>#VALUE!</v>
      </c>
      <c r="CU19" t="e">
        <f>AND(OnDemandVsReservedExample!J34,"AAAAAHjfn2I=")</f>
        <v>#VALUE!</v>
      </c>
      <c r="CV19" t="e">
        <f>AND(OnDemandVsReservedExample!K34,"AAAAAHjfn2M=")</f>
        <v>#VALUE!</v>
      </c>
      <c r="CW19" t="e">
        <f>AND(OnDemandVsReservedExample!L34,"AAAAAHjfn2Q=")</f>
        <v>#VALUE!</v>
      </c>
      <c r="CX19" t="e">
        <f>AND(OnDemandVsReservedExample!M34,"AAAAAHjfn2U=")</f>
        <v>#VALUE!</v>
      </c>
      <c r="CY19" t="e">
        <f>AND(OnDemandVsReservedExample!N34,"AAAAAHjfn2Y=")</f>
        <v>#VALUE!</v>
      </c>
      <c r="CZ19" t="e">
        <f>AND(OnDemandVsReservedExample!O34,"AAAAAHjfn2c=")</f>
        <v>#VALUE!</v>
      </c>
      <c r="DA19" t="e">
        <f>AND(OnDemandVsReservedExample!P34,"AAAAAHjfn2g=")</f>
        <v>#VALUE!</v>
      </c>
      <c r="DB19" t="e">
        <f>AND(OnDemandVsReservedExample!Q34,"AAAAAHjfn2k=")</f>
        <v>#VALUE!</v>
      </c>
      <c r="DC19">
        <f>IF(OnDemandVsReservedExample!35:35,"AAAAAHjfn2o=",0)</f>
        <v>0</v>
      </c>
      <c r="DD19" t="e">
        <f>AND(OnDemandVsReservedExample!A35,"AAAAAHjfn2s=")</f>
        <v>#VALUE!</v>
      </c>
      <c r="DE19" t="e">
        <f>AND(OnDemandVsReservedExample!B35,"AAAAAHjfn2w=")</f>
        <v>#VALUE!</v>
      </c>
      <c r="DF19" t="e">
        <f>AND(OnDemandVsReservedExample!C35,"AAAAAHjfn20=")</f>
        <v>#VALUE!</v>
      </c>
      <c r="DG19" t="e">
        <f>AND(OnDemandVsReservedExample!D35,"AAAAAHjfn24=")</f>
        <v>#VALUE!</v>
      </c>
      <c r="DH19" t="e">
        <f>AND(OnDemandVsReservedExample!E35,"AAAAAHjfn28=")</f>
        <v>#VALUE!</v>
      </c>
      <c r="DI19" t="e">
        <f>AND(OnDemandVsReservedExample!F35,"AAAAAHjfn3A=")</f>
        <v>#VALUE!</v>
      </c>
      <c r="DJ19" t="e">
        <f>AND(OnDemandVsReservedExample!G35,"AAAAAHjfn3E=")</f>
        <v>#VALUE!</v>
      </c>
      <c r="DK19" t="e">
        <f>AND(OnDemandVsReservedExample!H35,"AAAAAHjfn3I=")</f>
        <v>#VALUE!</v>
      </c>
      <c r="DL19" t="e">
        <f>AND(OnDemandVsReservedExample!I35,"AAAAAHjfn3M=")</f>
        <v>#VALUE!</v>
      </c>
      <c r="DM19" t="e">
        <f>AND(OnDemandVsReservedExample!J35,"AAAAAHjfn3Q=")</f>
        <v>#VALUE!</v>
      </c>
      <c r="DN19" t="e">
        <f>AND(OnDemandVsReservedExample!K35,"AAAAAHjfn3U=")</f>
        <v>#VALUE!</v>
      </c>
      <c r="DO19" t="e">
        <f>AND(OnDemandVsReservedExample!L35,"AAAAAHjfn3Y=")</f>
        <v>#VALUE!</v>
      </c>
      <c r="DP19" t="e">
        <f>AND(OnDemandVsReservedExample!M35,"AAAAAHjfn3c=")</f>
        <v>#VALUE!</v>
      </c>
      <c r="DQ19" t="e">
        <f>AND(OnDemandVsReservedExample!N35,"AAAAAHjfn3g=")</f>
        <v>#VALUE!</v>
      </c>
      <c r="DR19" t="e">
        <f>AND(OnDemandVsReservedExample!O35,"AAAAAHjfn3k=")</f>
        <v>#VALUE!</v>
      </c>
      <c r="DS19" t="e">
        <f>AND(OnDemandVsReservedExample!P35,"AAAAAHjfn3o=")</f>
        <v>#VALUE!</v>
      </c>
      <c r="DT19" t="e">
        <f>AND(OnDemandVsReservedExample!Q35,"AAAAAHjfn3s=")</f>
        <v>#VALUE!</v>
      </c>
      <c r="DU19">
        <f>IF(OnDemandVsReservedExample!36:36,"AAAAAHjfn3w=",0)</f>
        <v>0</v>
      </c>
      <c r="DV19" t="e">
        <f>AND(OnDemandVsReservedExample!A36,"AAAAAHjfn30=")</f>
        <v>#VALUE!</v>
      </c>
      <c r="DW19" t="e">
        <f>AND(OnDemandVsReservedExample!B36,"AAAAAHjfn34=")</f>
        <v>#VALUE!</v>
      </c>
      <c r="DX19" t="e">
        <f>AND(OnDemandVsReservedExample!C36,"AAAAAHjfn38=")</f>
        <v>#VALUE!</v>
      </c>
      <c r="DY19" t="e">
        <f>AND(OnDemandVsReservedExample!D36,"AAAAAHjfn4A=")</f>
        <v>#VALUE!</v>
      </c>
      <c r="DZ19" t="e">
        <f>AND(OnDemandVsReservedExample!E36,"AAAAAHjfn4E=")</f>
        <v>#VALUE!</v>
      </c>
      <c r="EA19" t="e">
        <f>AND(OnDemandVsReservedExample!F36,"AAAAAHjfn4I=")</f>
        <v>#VALUE!</v>
      </c>
      <c r="EB19" t="e">
        <f>AND(OnDemandVsReservedExample!G36,"AAAAAHjfn4M=")</f>
        <v>#VALUE!</v>
      </c>
      <c r="EC19" t="e">
        <f>AND(OnDemandVsReservedExample!H36,"AAAAAHjfn4Q=")</f>
        <v>#VALUE!</v>
      </c>
      <c r="ED19" t="e">
        <f>AND(OnDemandVsReservedExample!I36,"AAAAAHjfn4U=")</f>
        <v>#VALUE!</v>
      </c>
      <c r="EE19" t="e">
        <f>AND(OnDemandVsReservedExample!J36,"AAAAAHjfn4Y=")</f>
        <v>#VALUE!</v>
      </c>
      <c r="EF19" t="e">
        <f>AND(OnDemandVsReservedExample!K36,"AAAAAHjfn4c=")</f>
        <v>#VALUE!</v>
      </c>
      <c r="EG19" t="e">
        <f>AND(OnDemandVsReservedExample!L36,"AAAAAHjfn4g=")</f>
        <v>#VALUE!</v>
      </c>
      <c r="EH19" t="e">
        <f>AND(OnDemandVsReservedExample!M36,"AAAAAHjfn4k=")</f>
        <v>#VALUE!</v>
      </c>
      <c r="EI19" t="e">
        <f>AND(OnDemandVsReservedExample!N36,"AAAAAHjfn4o=")</f>
        <v>#VALUE!</v>
      </c>
      <c r="EJ19" t="e">
        <f>AND(OnDemandVsReservedExample!O36,"AAAAAHjfn4s=")</f>
        <v>#VALUE!</v>
      </c>
      <c r="EK19" t="e">
        <f>AND(OnDemandVsReservedExample!P36,"AAAAAHjfn4w=")</f>
        <v>#VALUE!</v>
      </c>
      <c r="EL19" t="e">
        <f>AND(OnDemandVsReservedExample!Q36,"AAAAAHjfn40=")</f>
        <v>#VALUE!</v>
      </c>
      <c r="EM19">
        <f>IF(OnDemandVsReservedExample!37:37,"AAAAAHjfn44=",0)</f>
        <v>0</v>
      </c>
      <c r="EN19" t="e">
        <f>AND(OnDemandVsReservedExample!A37,"AAAAAHjfn48=")</f>
        <v>#VALUE!</v>
      </c>
      <c r="EO19" t="e">
        <f>AND(OnDemandVsReservedExample!B37,"AAAAAHjfn5A=")</f>
        <v>#VALUE!</v>
      </c>
      <c r="EP19" t="e">
        <f>AND(OnDemandVsReservedExample!C37,"AAAAAHjfn5E=")</f>
        <v>#VALUE!</v>
      </c>
      <c r="EQ19" t="e">
        <f>AND(OnDemandVsReservedExample!D37,"AAAAAHjfn5I=")</f>
        <v>#VALUE!</v>
      </c>
      <c r="ER19" t="e">
        <f>AND(OnDemandVsReservedExample!E37,"AAAAAHjfn5M=")</f>
        <v>#VALUE!</v>
      </c>
      <c r="ES19" t="e">
        <f>AND(OnDemandVsReservedExample!F37,"AAAAAHjfn5Q=")</f>
        <v>#VALUE!</v>
      </c>
      <c r="ET19" t="e">
        <f>AND(OnDemandVsReservedExample!G37,"AAAAAHjfn5U=")</f>
        <v>#VALUE!</v>
      </c>
      <c r="EU19" t="e">
        <f>AND(OnDemandVsReservedExample!H37,"AAAAAHjfn5Y=")</f>
        <v>#VALUE!</v>
      </c>
      <c r="EV19" t="e">
        <f>AND(OnDemandVsReservedExample!I37,"AAAAAHjfn5c=")</f>
        <v>#VALUE!</v>
      </c>
      <c r="EW19" t="e">
        <f>AND(OnDemandVsReservedExample!J37,"AAAAAHjfn5g=")</f>
        <v>#VALUE!</v>
      </c>
      <c r="EX19" t="e">
        <f>AND(OnDemandVsReservedExample!K37,"AAAAAHjfn5k=")</f>
        <v>#VALUE!</v>
      </c>
      <c r="EY19" t="e">
        <f>AND(OnDemandVsReservedExample!L37,"AAAAAHjfn5o=")</f>
        <v>#VALUE!</v>
      </c>
      <c r="EZ19" t="e">
        <f>AND(OnDemandVsReservedExample!M37,"AAAAAHjfn5s=")</f>
        <v>#VALUE!</v>
      </c>
      <c r="FA19" t="e">
        <f>AND(OnDemandVsReservedExample!N37,"AAAAAHjfn5w=")</f>
        <v>#VALUE!</v>
      </c>
      <c r="FB19" t="e">
        <f>AND(OnDemandVsReservedExample!O37,"AAAAAHjfn50=")</f>
        <v>#VALUE!</v>
      </c>
      <c r="FC19" t="e">
        <f>AND(OnDemandVsReservedExample!P37,"AAAAAHjfn54=")</f>
        <v>#VALUE!</v>
      </c>
      <c r="FD19" t="e">
        <f>AND(OnDemandVsReservedExample!Q37,"AAAAAHjfn58=")</f>
        <v>#VALUE!</v>
      </c>
      <c r="FE19">
        <f>IF(OnDemandVsReservedExample!38:38,"AAAAAHjfn6A=",0)</f>
        <v>0</v>
      </c>
      <c r="FF19" t="e">
        <f>AND(OnDemandVsReservedExample!A38,"AAAAAHjfn6E=")</f>
        <v>#VALUE!</v>
      </c>
      <c r="FG19" t="e">
        <f>AND(OnDemandVsReservedExample!B38,"AAAAAHjfn6I=")</f>
        <v>#VALUE!</v>
      </c>
      <c r="FH19" t="e">
        <f>AND(OnDemandVsReservedExample!C38,"AAAAAHjfn6M=")</f>
        <v>#VALUE!</v>
      </c>
      <c r="FI19" t="e">
        <f>AND(OnDemandVsReservedExample!D38,"AAAAAHjfn6Q=")</f>
        <v>#VALUE!</v>
      </c>
      <c r="FJ19" t="e">
        <f>AND(OnDemandVsReservedExample!E38,"AAAAAHjfn6U=")</f>
        <v>#VALUE!</v>
      </c>
      <c r="FK19" t="e">
        <f>AND(OnDemandVsReservedExample!F38,"AAAAAHjfn6Y=")</f>
        <v>#VALUE!</v>
      </c>
      <c r="FL19" t="e">
        <f>AND(OnDemandVsReservedExample!G38,"AAAAAHjfn6c=")</f>
        <v>#VALUE!</v>
      </c>
      <c r="FM19" t="e">
        <f>AND(OnDemandVsReservedExample!H38,"AAAAAHjfn6g=")</f>
        <v>#VALUE!</v>
      </c>
      <c r="FN19" t="e">
        <f>AND(OnDemandVsReservedExample!I38,"AAAAAHjfn6k=")</f>
        <v>#VALUE!</v>
      </c>
      <c r="FO19" t="e">
        <f>AND(OnDemandVsReservedExample!J38,"AAAAAHjfn6o=")</f>
        <v>#VALUE!</v>
      </c>
      <c r="FP19" t="e">
        <f>AND(OnDemandVsReservedExample!K38,"AAAAAHjfn6s=")</f>
        <v>#VALUE!</v>
      </c>
      <c r="FQ19" t="e">
        <f>AND(OnDemandVsReservedExample!L38,"AAAAAHjfn6w=")</f>
        <v>#VALUE!</v>
      </c>
      <c r="FR19" t="e">
        <f>AND(OnDemandVsReservedExample!M38,"AAAAAHjfn60=")</f>
        <v>#VALUE!</v>
      </c>
      <c r="FS19" t="e">
        <f>AND(OnDemandVsReservedExample!N38,"AAAAAHjfn64=")</f>
        <v>#VALUE!</v>
      </c>
      <c r="FT19" t="e">
        <f>AND(OnDemandVsReservedExample!O38,"AAAAAHjfn68=")</f>
        <v>#VALUE!</v>
      </c>
      <c r="FU19" t="e">
        <f>AND(OnDemandVsReservedExample!P38,"AAAAAHjfn7A=")</f>
        <v>#VALUE!</v>
      </c>
      <c r="FV19" t="e">
        <f>AND(OnDemandVsReservedExample!Q38,"AAAAAHjfn7E=")</f>
        <v>#VALUE!</v>
      </c>
      <c r="FW19">
        <f>IF(OnDemandVsReservedExample!39:39,"AAAAAHjfn7I=",0)</f>
        <v>0</v>
      </c>
      <c r="FX19" t="e">
        <f>AND(OnDemandVsReservedExample!A39,"AAAAAHjfn7M=")</f>
        <v>#VALUE!</v>
      </c>
      <c r="FY19" t="e">
        <f>AND(OnDemandVsReservedExample!B39,"AAAAAHjfn7Q=")</f>
        <v>#VALUE!</v>
      </c>
      <c r="FZ19" t="e">
        <f>AND(OnDemandVsReservedExample!C39,"AAAAAHjfn7U=")</f>
        <v>#VALUE!</v>
      </c>
      <c r="GA19" t="e">
        <f>AND(OnDemandVsReservedExample!D39,"AAAAAHjfn7Y=")</f>
        <v>#VALUE!</v>
      </c>
      <c r="GB19" t="e">
        <f>AND(OnDemandVsReservedExample!E39,"AAAAAHjfn7c=")</f>
        <v>#VALUE!</v>
      </c>
      <c r="GC19" t="e">
        <f>AND(OnDemandVsReservedExample!F39,"AAAAAHjfn7g=")</f>
        <v>#VALUE!</v>
      </c>
      <c r="GD19" t="e">
        <f>AND(OnDemandVsReservedExample!G39,"AAAAAHjfn7k=")</f>
        <v>#VALUE!</v>
      </c>
      <c r="GE19" t="e">
        <f>AND(OnDemandVsReservedExample!H39,"AAAAAHjfn7o=")</f>
        <v>#VALUE!</v>
      </c>
      <c r="GF19" t="e">
        <f>AND(OnDemandVsReservedExample!I39,"AAAAAHjfn7s=")</f>
        <v>#VALUE!</v>
      </c>
      <c r="GG19" t="e">
        <f>AND(OnDemandVsReservedExample!J39,"AAAAAHjfn7w=")</f>
        <v>#VALUE!</v>
      </c>
      <c r="GH19" t="e">
        <f>AND(OnDemandVsReservedExample!K39,"AAAAAHjfn70=")</f>
        <v>#VALUE!</v>
      </c>
      <c r="GI19" t="e">
        <f>AND(OnDemandVsReservedExample!L39,"AAAAAHjfn74=")</f>
        <v>#VALUE!</v>
      </c>
      <c r="GJ19" t="e">
        <f>AND(OnDemandVsReservedExample!M39,"AAAAAHjfn78=")</f>
        <v>#VALUE!</v>
      </c>
      <c r="GK19" t="e">
        <f>AND(OnDemandVsReservedExample!N39,"AAAAAHjfn8A=")</f>
        <v>#VALUE!</v>
      </c>
      <c r="GL19" t="e">
        <f>AND(OnDemandVsReservedExample!O39,"AAAAAHjfn8E=")</f>
        <v>#VALUE!</v>
      </c>
      <c r="GM19" t="e">
        <f>AND(OnDemandVsReservedExample!P39,"AAAAAHjfn8I=")</f>
        <v>#VALUE!</v>
      </c>
      <c r="GN19" t="e">
        <f>AND(OnDemandVsReservedExample!Q39,"AAAAAHjfn8M=")</f>
        <v>#VALUE!</v>
      </c>
      <c r="GO19">
        <f>IF(OnDemandVsReservedExample!40:40,"AAAAAHjfn8Q=",0)</f>
        <v>0</v>
      </c>
      <c r="GP19" t="e">
        <f>AND(OnDemandVsReservedExample!A40,"AAAAAHjfn8U=")</f>
        <v>#VALUE!</v>
      </c>
      <c r="GQ19" t="e">
        <f>AND(OnDemandVsReservedExample!B40,"AAAAAHjfn8Y=")</f>
        <v>#VALUE!</v>
      </c>
      <c r="GR19" t="e">
        <f>AND(OnDemandVsReservedExample!C40,"AAAAAHjfn8c=")</f>
        <v>#VALUE!</v>
      </c>
      <c r="GS19" t="e">
        <f>AND(OnDemandVsReservedExample!D40,"AAAAAHjfn8g=")</f>
        <v>#VALUE!</v>
      </c>
      <c r="GT19" t="e">
        <f>AND(OnDemandVsReservedExample!E40,"AAAAAHjfn8k=")</f>
        <v>#VALUE!</v>
      </c>
      <c r="GU19" t="e">
        <f>AND(OnDemandVsReservedExample!F40,"AAAAAHjfn8o=")</f>
        <v>#VALUE!</v>
      </c>
      <c r="GV19" t="e">
        <f>AND(OnDemandVsReservedExample!G40,"AAAAAHjfn8s=")</f>
        <v>#VALUE!</v>
      </c>
      <c r="GW19" t="e">
        <f>AND(OnDemandVsReservedExample!H40,"AAAAAHjfn8w=")</f>
        <v>#VALUE!</v>
      </c>
      <c r="GX19" t="e">
        <f>AND(OnDemandVsReservedExample!I40,"AAAAAHjfn80=")</f>
        <v>#VALUE!</v>
      </c>
      <c r="GY19" t="e">
        <f>AND(OnDemandVsReservedExample!J40,"AAAAAHjfn84=")</f>
        <v>#VALUE!</v>
      </c>
      <c r="GZ19" t="e">
        <f>AND(OnDemandVsReservedExample!K40,"AAAAAHjfn88=")</f>
        <v>#VALUE!</v>
      </c>
      <c r="HA19" t="e">
        <f>AND(OnDemandVsReservedExample!L40,"AAAAAHjfn9A=")</f>
        <v>#VALUE!</v>
      </c>
      <c r="HB19" t="e">
        <f>AND(OnDemandVsReservedExample!M40,"AAAAAHjfn9E=")</f>
        <v>#VALUE!</v>
      </c>
      <c r="HC19" t="e">
        <f>AND(OnDemandVsReservedExample!N40,"AAAAAHjfn9I=")</f>
        <v>#VALUE!</v>
      </c>
      <c r="HD19" t="e">
        <f>AND(OnDemandVsReservedExample!O40,"AAAAAHjfn9M=")</f>
        <v>#VALUE!</v>
      </c>
      <c r="HE19" t="e">
        <f>AND(OnDemandVsReservedExample!P40,"AAAAAHjfn9Q=")</f>
        <v>#VALUE!</v>
      </c>
      <c r="HF19" t="e">
        <f>AND(OnDemandVsReservedExample!Q40,"AAAAAHjfn9U=")</f>
        <v>#VALUE!</v>
      </c>
      <c r="HG19">
        <f>IF(OnDemandVsReservedExample!41:41,"AAAAAHjfn9Y=",0)</f>
        <v>0</v>
      </c>
      <c r="HH19" t="e">
        <f>AND(OnDemandVsReservedExample!A41,"AAAAAHjfn9c=")</f>
        <v>#VALUE!</v>
      </c>
      <c r="HI19" t="e">
        <f>AND(OnDemandVsReservedExample!B41,"AAAAAHjfn9g=")</f>
        <v>#VALUE!</v>
      </c>
      <c r="HJ19" t="e">
        <f>AND(OnDemandVsReservedExample!C41,"AAAAAHjfn9k=")</f>
        <v>#VALUE!</v>
      </c>
      <c r="HK19" t="e">
        <f>AND(OnDemandVsReservedExample!D41,"AAAAAHjfn9o=")</f>
        <v>#VALUE!</v>
      </c>
      <c r="HL19" t="e">
        <f>AND(OnDemandVsReservedExample!E41,"AAAAAHjfn9s=")</f>
        <v>#VALUE!</v>
      </c>
      <c r="HM19" t="e">
        <f>AND(OnDemandVsReservedExample!F41,"AAAAAHjfn9w=")</f>
        <v>#VALUE!</v>
      </c>
      <c r="HN19" t="e">
        <f>AND(OnDemandVsReservedExample!G41,"AAAAAHjfn90=")</f>
        <v>#VALUE!</v>
      </c>
      <c r="HO19" t="e">
        <f>AND(OnDemandVsReservedExample!H41,"AAAAAHjfn94=")</f>
        <v>#VALUE!</v>
      </c>
      <c r="HP19" t="e">
        <f>AND(OnDemandVsReservedExample!I41,"AAAAAHjfn98=")</f>
        <v>#VALUE!</v>
      </c>
      <c r="HQ19" t="e">
        <f>AND(OnDemandVsReservedExample!J41,"AAAAAHjfn+A=")</f>
        <v>#VALUE!</v>
      </c>
      <c r="HR19" t="e">
        <f>AND(OnDemandVsReservedExample!K41,"AAAAAHjfn+E=")</f>
        <v>#VALUE!</v>
      </c>
      <c r="HS19" t="e">
        <f>AND(OnDemandVsReservedExample!L41,"AAAAAHjfn+I=")</f>
        <v>#VALUE!</v>
      </c>
      <c r="HT19" t="e">
        <f>AND(OnDemandVsReservedExample!M41,"AAAAAHjfn+M=")</f>
        <v>#VALUE!</v>
      </c>
      <c r="HU19" t="e">
        <f>AND(OnDemandVsReservedExample!N41,"AAAAAHjfn+Q=")</f>
        <v>#VALUE!</v>
      </c>
      <c r="HV19" t="e">
        <f>AND(OnDemandVsReservedExample!O41,"AAAAAHjfn+U=")</f>
        <v>#VALUE!</v>
      </c>
      <c r="HW19" t="e">
        <f>AND(OnDemandVsReservedExample!P41,"AAAAAHjfn+Y=")</f>
        <v>#VALUE!</v>
      </c>
      <c r="HX19" t="e">
        <f>AND(OnDemandVsReservedExample!Q41,"AAAAAHjfn+c=")</f>
        <v>#VALUE!</v>
      </c>
      <c r="HY19">
        <f>IF(OnDemandVsReservedExample!42:42,"AAAAAHjfn+g=",0)</f>
        <v>0</v>
      </c>
      <c r="HZ19" t="e">
        <f>AND(OnDemandVsReservedExample!A42,"AAAAAHjfn+k=")</f>
        <v>#VALUE!</v>
      </c>
      <c r="IA19" t="e">
        <f>AND(OnDemandVsReservedExample!B42,"AAAAAHjfn+o=")</f>
        <v>#VALUE!</v>
      </c>
      <c r="IB19" t="e">
        <f>AND(OnDemandVsReservedExample!C42,"AAAAAHjfn+s=")</f>
        <v>#VALUE!</v>
      </c>
      <c r="IC19" t="e">
        <f>AND(OnDemandVsReservedExample!D42,"AAAAAHjfn+w=")</f>
        <v>#VALUE!</v>
      </c>
      <c r="ID19" t="e">
        <f>AND(OnDemandVsReservedExample!E42,"AAAAAHjfn+0=")</f>
        <v>#VALUE!</v>
      </c>
      <c r="IE19" t="e">
        <f>AND(OnDemandVsReservedExample!F42,"AAAAAHjfn+4=")</f>
        <v>#VALUE!</v>
      </c>
      <c r="IF19" t="e">
        <f>AND(OnDemandVsReservedExample!G42,"AAAAAHjfn+8=")</f>
        <v>#VALUE!</v>
      </c>
      <c r="IG19" t="e">
        <f>AND(OnDemandVsReservedExample!H42,"AAAAAHjfn/A=")</f>
        <v>#VALUE!</v>
      </c>
      <c r="IH19" t="e">
        <f>AND(OnDemandVsReservedExample!I42,"AAAAAHjfn/E=")</f>
        <v>#VALUE!</v>
      </c>
      <c r="II19" t="e">
        <f>AND(OnDemandVsReservedExample!J42,"AAAAAHjfn/I=")</f>
        <v>#VALUE!</v>
      </c>
      <c r="IJ19" t="e">
        <f>AND(OnDemandVsReservedExample!K42,"AAAAAHjfn/M=")</f>
        <v>#VALUE!</v>
      </c>
      <c r="IK19" t="e">
        <f>AND(OnDemandVsReservedExample!L42,"AAAAAHjfn/Q=")</f>
        <v>#VALUE!</v>
      </c>
      <c r="IL19" t="e">
        <f>AND(OnDemandVsReservedExample!M42,"AAAAAHjfn/U=")</f>
        <v>#VALUE!</v>
      </c>
      <c r="IM19" t="e">
        <f>AND(OnDemandVsReservedExample!N42,"AAAAAHjfn/Y=")</f>
        <v>#VALUE!</v>
      </c>
      <c r="IN19" t="e">
        <f>AND(OnDemandVsReservedExample!O42,"AAAAAHjfn/c=")</f>
        <v>#VALUE!</v>
      </c>
      <c r="IO19" t="e">
        <f>AND(OnDemandVsReservedExample!P42,"AAAAAHjfn/g=")</f>
        <v>#VALUE!</v>
      </c>
      <c r="IP19" t="e">
        <f>AND(OnDemandVsReservedExample!Q42,"AAAAAHjfn/k=")</f>
        <v>#VALUE!</v>
      </c>
      <c r="IQ19">
        <f>IF(OnDemandVsReservedExample!43:43,"AAAAAHjfn/o=",0)</f>
        <v>0</v>
      </c>
      <c r="IR19" t="e">
        <f>AND(OnDemandVsReservedExample!A43,"AAAAAHjfn/s=")</f>
        <v>#VALUE!</v>
      </c>
      <c r="IS19" t="e">
        <f>AND(OnDemandVsReservedExample!B43,"AAAAAHjfn/w=")</f>
        <v>#VALUE!</v>
      </c>
      <c r="IT19" t="e">
        <f>AND(OnDemandVsReservedExample!C43,"AAAAAHjfn/0=")</f>
        <v>#VALUE!</v>
      </c>
      <c r="IU19" t="e">
        <f>AND(OnDemandVsReservedExample!D43,"AAAAAHjfn/4=")</f>
        <v>#VALUE!</v>
      </c>
      <c r="IV19" t="e">
        <f>AND(OnDemandVsReservedExample!E43,"AAAAAHjfn/8=")</f>
        <v>#VALUE!</v>
      </c>
    </row>
    <row r="20" spans="1:256" x14ac:dyDescent="0.25">
      <c r="A20" t="e">
        <f>AND(OnDemandVsReservedExample!F43,"AAAAAH9/PQA=")</f>
        <v>#VALUE!</v>
      </c>
      <c r="B20" t="e">
        <f>AND(OnDemandVsReservedExample!G43,"AAAAAH9/PQE=")</f>
        <v>#VALUE!</v>
      </c>
      <c r="C20" t="e">
        <f>AND(OnDemandVsReservedExample!H43,"AAAAAH9/PQI=")</f>
        <v>#VALUE!</v>
      </c>
      <c r="D20" t="e">
        <f>AND(OnDemandVsReservedExample!I43,"AAAAAH9/PQM=")</f>
        <v>#VALUE!</v>
      </c>
      <c r="E20" t="e">
        <f>AND(OnDemandVsReservedExample!J43,"AAAAAH9/PQQ=")</f>
        <v>#VALUE!</v>
      </c>
      <c r="F20" t="e">
        <f>AND(OnDemandVsReservedExample!K43,"AAAAAH9/PQU=")</f>
        <v>#VALUE!</v>
      </c>
      <c r="G20" t="e">
        <f>AND(OnDemandVsReservedExample!L43,"AAAAAH9/PQY=")</f>
        <v>#VALUE!</v>
      </c>
      <c r="H20" t="e">
        <f>AND(OnDemandVsReservedExample!M43,"AAAAAH9/PQc=")</f>
        <v>#VALUE!</v>
      </c>
      <c r="I20" t="e">
        <f>AND(OnDemandVsReservedExample!N43,"AAAAAH9/PQg=")</f>
        <v>#VALUE!</v>
      </c>
      <c r="J20" t="e">
        <f>AND(OnDemandVsReservedExample!O43,"AAAAAH9/PQk=")</f>
        <v>#VALUE!</v>
      </c>
      <c r="K20" t="e">
        <f>AND(OnDemandVsReservedExample!P43,"AAAAAH9/PQo=")</f>
        <v>#VALUE!</v>
      </c>
      <c r="L20" t="e">
        <f>AND(OnDemandVsReservedExample!Q43,"AAAAAH9/PQs=")</f>
        <v>#VALUE!</v>
      </c>
      <c r="M20">
        <f>IF(OnDemandVsReservedExample!44:44,"AAAAAH9/PQw=",0)</f>
        <v>0</v>
      </c>
      <c r="N20" t="e">
        <f>AND(OnDemandVsReservedExample!A44,"AAAAAH9/PQ0=")</f>
        <v>#VALUE!</v>
      </c>
      <c r="O20" t="e">
        <f>AND(OnDemandVsReservedExample!B44,"AAAAAH9/PQ4=")</f>
        <v>#VALUE!</v>
      </c>
      <c r="P20" t="e">
        <f>AND(OnDemandVsReservedExample!C44,"AAAAAH9/PQ8=")</f>
        <v>#VALUE!</v>
      </c>
      <c r="Q20" t="e">
        <f>AND(OnDemandVsReservedExample!D44,"AAAAAH9/PRA=")</f>
        <v>#VALUE!</v>
      </c>
      <c r="R20" t="e">
        <f>AND(OnDemandVsReservedExample!E44,"AAAAAH9/PRE=")</f>
        <v>#VALUE!</v>
      </c>
      <c r="S20" t="e">
        <f>AND(OnDemandVsReservedExample!F44,"AAAAAH9/PRI=")</f>
        <v>#VALUE!</v>
      </c>
      <c r="T20" t="e">
        <f>AND(OnDemandVsReservedExample!G44,"AAAAAH9/PRM=")</f>
        <v>#VALUE!</v>
      </c>
      <c r="U20" t="e">
        <f>AND(OnDemandVsReservedExample!H44,"AAAAAH9/PRQ=")</f>
        <v>#VALUE!</v>
      </c>
      <c r="V20" t="e">
        <f>AND(OnDemandVsReservedExample!I44,"AAAAAH9/PRU=")</f>
        <v>#VALUE!</v>
      </c>
      <c r="W20" t="e">
        <f>AND(OnDemandVsReservedExample!J44,"AAAAAH9/PRY=")</f>
        <v>#VALUE!</v>
      </c>
      <c r="X20" t="e">
        <f>AND(OnDemandVsReservedExample!K44,"AAAAAH9/PRc=")</f>
        <v>#VALUE!</v>
      </c>
      <c r="Y20" t="e">
        <f>AND(OnDemandVsReservedExample!L44,"AAAAAH9/PRg=")</f>
        <v>#VALUE!</v>
      </c>
      <c r="Z20" t="e">
        <f>AND(OnDemandVsReservedExample!M44,"AAAAAH9/PRk=")</f>
        <v>#VALUE!</v>
      </c>
      <c r="AA20" t="e">
        <f>AND(OnDemandVsReservedExample!N44,"AAAAAH9/PRo=")</f>
        <v>#VALUE!</v>
      </c>
      <c r="AB20" t="e">
        <f>AND(OnDemandVsReservedExample!O44,"AAAAAH9/PRs=")</f>
        <v>#VALUE!</v>
      </c>
      <c r="AC20" t="e">
        <f>AND(OnDemandVsReservedExample!P44,"AAAAAH9/PRw=")</f>
        <v>#VALUE!</v>
      </c>
      <c r="AD20" t="e">
        <f>AND(OnDemandVsReservedExample!Q44,"AAAAAH9/PR0=")</f>
        <v>#VALUE!</v>
      </c>
      <c r="AE20">
        <f>IF(OnDemandVsReservedExample!45:45,"AAAAAH9/PR4=",0)</f>
        <v>0</v>
      </c>
      <c r="AF20" t="e">
        <f>AND(OnDemandVsReservedExample!A45,"AAAAAH9/PR8=")</f>
        <v>#VALUE!</v>
      </c>
      <c r="AG20" t="e">
        <f>AND(OnDemandVsReservedExample!B45,"AAAAAH9/PSA=")</f>
        <v>#VALUE!</v>
      </c>
      <c r="AH20" t="e">
        <f>AND(OnDemandVsReservedExample!C45,"AAAAAH9/PSE=")</f>
        <v>#VALUE!</v>
      </c>
      <c r="AI20" t="e">
        <f>AND(OnDemandVsReservedExample!D45,"AAAAAH9/PSI=")</f>
        <v>#VALUE!</v>
      </c>
      <c r="AJ20" t="e">
        <f>AND(OnDemandVsReservedExample!E45,"AAAAAH9/PSM=")</f>
        <v>#VALUE!</v>
      </c>
      <c r="AK20" t="e">
        <f>AND(OnDemandVsReservedExample!F45,"AAAAAH9/PSQ=")</f>
        <v>#VALUE!</v>
      </c>
      <c r="AL20" t="e">
        <f>AND(OnDemandVsReservedExample!G45,"AAAAAH9/PSU=")</f>
        <v>#VALUE!</v>
      </c>
      <c r="AM20" t="e">
        <f>AND(OnDemandVsReservedExample!H45,"AAAAAH9/PSY=")</f>
        <v>#VALUE!</v>
      </c>
      <c r="AN20" t="e">
        <f>AND(OnDemandVsReservedExample!I45,"AAAAAH9/PSc=")</f>
        <v>#VALUE!</v>
      </c>
      <c r="AO20" t="e">
        <f>AND(OnDemandVsReservedExample!J45,"AAAAAH9/PSg=")</f>
        <v>#VALUE!</v>
      </c>
      <c r="AP20" t="e">
        <f>AND(OnDemandVsReservedExample!K45,"AAAAAH9/PSk=")</f>
        <v>#VALUE!</v>
      </c>
      <c r="AQ20" t="e">
        <f>AND(OnDemandVsReservedExample!L45,"AAAAAH9/PSo=")</f>
        <v>#VALUE!</v>
      </c>
      <c r="AR20" t="e">
        <f>AND(OnDemandVsReservedExample!M45,"AAAAAH9/PSs=")</f>
        <v>#VALUE!</v>
      </c>
      <c r="AS20" t="e">
        <f>AND(OnDemandVsReservedExample!N45,"AAAAAH9/PSw=")</f>
        <v>#VALUE!</v>
      </c>
      <c r="AT20" t="e">
        <f>AND(OnDemandVsReservedExample!O45,"AAAAAH9/PS0=")</f>
        <v>#VALUE!</v>
      </c>
      <c r="AU20" t="e">
        <f>AND(OnDemandVsReservedExample!P45,"AAAAAH9/PS4=")</f>
        <v>#VALUE!</v>
      </c>
      <c r="AV20" t="e">
        <f>AND(OnDemandVsReservedExample!Q45,"AAAAAH9/PS8=")</f>
        <v>#VALUE!</v>
      </c>
      <c r="AW20">
        <f>IF(OnDemandVsReservedExample!46:46,"AAAAAH9/PTA=",0)</f>
        <v>0</v>
      </c>
      <c r="AX20" t="e">
        <f>AND(OnDemandVsReservedExample!A46,"AAAAAH9/PTE=")</f>
        <v>#VALUE!</v>
      </c>
      <c r="AY20" t="e">
        <f>AND(OnDemandVsReservedExample!B46,"AAAAAH9/PTI=")</f>
        <v>#VALUE!</v>
      </c>
      <c r="AZ20" t="e">
        <f>AND(OnDemandVsReservedExample!C46,"AAAAAH9/PTM=")</f>
        <v>#VALUE!</v>
      </c>
      <c r="BA20" t="e">
        <f>AND(OnDemandVsReservedExample!D46,"AAAAAH9/PTQ=")</f>
        <v>#VALUE!</v>
      </c>
      <c r="BB20" t="e">
        <f>AND(OnDemandVsReservedExample!E46,"AAAAAH9/PTU=")</f>
        <v>#VALUE!</v>
      </c>
      <c r="BC20" t="e">
        <f>AND(OnDemandVsReservedExample!F46,"AAAAAH9/PTY=")</f>
        <v>#VALUE!</v>
      </c>
      <c r="BD20" t="e">
        <f>AND(OnDemandVsReservedExample!G46,"AAAAAH9/PTc=")</f>
        <v>#VALUE!</v>
      </c>
      <c r="BE20" t="e">
        <f>AND(OnDemandVsReservedExample!H46,"AAAAAH9/PTg=")</f>
        <v>#VALUE!</v>
      </c>
      <c r="BF20" t="e">
        <f>AND(OnDemandVsReservedExample!I46,"AAAAAH9/PTk=")</f>
        <v>#VALUE!</v>
      </c>
      <c r="BG20" t="e">
        <f>AND(OnDemandVsReservedExample!J46,"AAAAAH9/PTo=")</f>
        <v>#VALUE!</v>
      </c>
      <c r="BH20" t="e">
        <f>AND(OnDemandVsReservedExample!K46,"AAAAAH9/PTs=")</f>
        <v>#VALUE!</v>
      </c>
      <c r="BI20" t="e">
        <f>AND(OnDemandVsReservedExample!L46,"AAAAAH9/PTw=")</f>
        <v>#VALUE!</v>
      </c>
      <c r="BJ20" t="e">
        <f>AND(OnDemandVsReservedExample!M46,"AAAAAH9/PT0=")</f>
        <v>#VALUE!</v>
      </c>
      <c r="BK20" t="e">
        <f>AND(OnDemandVsReservedExample!N46,"AAAAAH9/PT4=")</f>
        <v>#VALUE!</v>
      </c>
      <c r="BL20" t="e">
        <f>AND(OnDemandVsReservedExample!O46,"AAAAAH9/PT8=")</f>
        <v>#VALUE!</v>
      </c>
      <c r="BM20" t="e">
        <f>AND(OnDemandVsReservedExample!P46,"AAAAAH9/PUA=")</f>
        <v>#VALUE!</v>
      </c>
      <c r="BN20" t="e">
        <f>AND(OnDemandVsReservedExample!Q46,"AAAAAH9/PUE=")</f>
        <v>#VALUE!</v>
      </c>
      <c r="BO20">
        <f>IF(OnDemandVsReservedExample!47:47,"AAAAAH9/PUI=",0)</f>
        <v>0</v>
      </c>
      <c r="BP20" t="e">
        <f>AND(OnDemandVsReservedExample!A47,"AAAAAH9/PUM=")</f>
        <v>#VALUE!</v>
      </c>
      <c r="BQ20" t="e">
        <f>AND(OnDemandVsReservedExample!B47,"AAAAAH9/PUQ=")</f>
        <v>#VALUE!</v>
      </c>
      <c r="BR20" t="e">
        <f>AND(OnDemandVsReservedExample!C47,"AAAAAH9/PUU=")</f>
        <v>#VALUE!</v>
      </c>
      <c r="BS20" t="e">
        <f>AND(OnDemandVsReservedExample!D47,"AAAAAH9/PUY=")</f>
        <v>#VALUE!</v>
      </c>
      <c r="BT20" t="e">
        <f>AND(OnDemandVsReservedExample!E47,"AAAAAH9/PUc=")</f>
        <v>#VALUE!</v>
      </c>
      <c r="BU20" t="e">
        <f>AND(OnDemandVsReservedExample!F47,"AAAAAH9/PUg=")</f>
        <v>#VALUE!</v>
      </c>
      <c r="BV20" t="e">
        <f>AND(OnDemandVsReservedExample!G47,"AAAAAH9/PUk=")</f>
        <v>#VALUE!</v>
      </c>
      <c r="BW20" t="e">
        <f>AND(OnDemandVsReservedExample!H47,"AAAAAH9/PUo=")</f>
        <v>#VALUE!</v>
      </c>
      <c r="BX20" t="e">
        <f>AND(OnDemandVsReservedExample!I47,"AAAAAH9/PUs=")</f>
        <v>#VALUE!</v>
      </c>
      <c r="BY20" t="e">
        <f>AND(OnDemandVsReservedExample!J47,"AAAAAH9/PUw=")</f>
        <v>#VALUE!</v>
      </c>
      <c r="BZ20" t="e">
        <f>AND(OnDemandVsReservedExample!K47,"AAAAAH9/PU0=")</f>
        <v>#VALUE!</v>
      </c>
      <c r="CA20" t="e">
        <f>AND(OnDemandVsReservedExample!L47,"AAAAAH9/PU4=")</f>
        <v>#VALUE!</v>
      </c>
      <c r="CB20" t="e">
        <f>AND(OnDemandVsReservedExample!M47,"AAAAAH9/PU8=")</f>
        <v>#VALUE!</v>
      </c>
      <c r="CC20" t="e">
        <f>AND(OnDemandVsReservedExample!N47,"AAAAAH9/PVA=")</f>
        <v>#VALUE!</v>
      </c>
      <c r="CD20" t="e">
        <f>AND(OnDemandVsReservedExample!O47,"AAAAAH9/PVE=")</f>
        <v>#VALUE!</v>
      </c>
      <c r="CE20" t="e">
        <f>AND(OnDemandVsReservedExample!P47,"AAAAAH9/PVI=")</f>
        <v>#VALUE!</v>
      </c>
      <c r="CF20" t="e">
        <f>AND(OnDemandVsReservedExample!Q47,"AAAAAH9/PVM=")</f>
        <v>#VALUE!</v>
      </c>
      <c r="CG20">
        <f>IF(OnDemandVsReservedExample!48:48,"AAAAAH9/PVQ=",0)</f>
        <v>0</v>
      </c>
      <c r="CH20" t="e">
        <f>AND(OnDemandVsReservedExample!A48,"AAAAAH9/PVU=")</f>
        <v>#VALUE!</v>
      </c>
      <c r="CI20" t="e">
        <f>AND(OnDemandVsReservedExample!B48,"AAAAAH9/PVY=")</f>
        <v>#VALUE!</v>
      </c>
      <c r="CJ20" t="e">
        <f>AND(OnDemandVsReservedExample!C48,"AAAAAH9/PVc=")</f>
        <v>#VALUE!</v>
      </c>
      <c r="CK20" t="e">
        <f>AND(OnDemandVsReservedExample!D48,"AAAAAH9/PVg=")</f>
        <v>#VALUE!</v>
      </c>
      <c r="CL20" t="e">
        <f>AND(OnDemandVsReservedExample!E48,"AAAAAH9/PVk=")</f>
        <v>#VALUE!</v>
      </c>
      <c r="CM20" t="e">
        <f>AND(OnDemandVsReservedExample!F48,"AAAAAH9/PVo=")</f>
        <v>#VALUE!</v>
      </c>
      <c r="CN20" t="e">
        <f>AND(OnDemandVsReservedExample!G48,"AAAAAH9/PVs=")</f>
        <v>#VALUE!</v>
      </c>
      <c r="CO20" t="e">
        <f>AND(OnDemandVsReservedExample!H48,"AAAAAH9/PVw=")</f>
        <v>#VALUE!</v>
      </c>
      <c r="CP20" t="e">
        <f>AND(OnDemandVsReservedExample!I48,"AAAAAH9/PV0=")</f>
        <v>#VALUE!</v>
      </c>
      <c r="CQ20" t="e">
        <f>AND(OnDemandVsReservedExample!J48,"AAAAAH9/PV4=")</f>
        <v>#VALUE!</v>
      </c>
      <c r="CR20" t="e">
        <f>AND(OnDemandVsReservedExample!K48,"AAAAAH9/PV8=")</f>
        <v>#VALUE!</v>
      </c>
      <c r="CS20" t="e">
        <f>AND(OnDemandVsReservedExample!L48,"AAAAAH9/PWA=")</f>
        <v>#VALUE!</v>
      </c>
      <c r="CT20" t="e">
        <f>AND(OnDemandVsReservedExample!M48,"AAAAAH9/PWE=")</f>
        <v>#VALUE!</v>
      </c>
      <c r="CU20" t="e">
        <f>AND(OnDemandVsReservedExample!N48,"AAAAAH9/PWI=")</f>
        <v>#VALUE!</v>
      </c>
      <c r="CV20" t="e">
        <f>AND(OnDemandVsReservedExample!O48,"AAAAAH9/PWM=")</f>
        <v>#VALUE!</v>
      </c>
      <c r="CW20" t="e">
        <f>AND(OnDemandVsReservedExample!P48,"AAAAAH9/PWQ=")</f>
        <v>#VALUE!</v>
      </c>
      <c r="CX20" t="e">
        <f>AND(OnDemandVsReservedExample!Q48,"AAAAAH9/PWU=")</f>
        <v>#VALUE!</v>
      </c>
      <c r="CY20">
        <f>IF(OnDemandVsReservedExample!49:49,"AAAAAH9/PWY=",0)</f>
        <v>0</v>
      </c>
      <c r="CZ20" t="e">
        <f>AND(OnDemandVsReservedExample!A49,"AAAAAH9/PWc=")</f>
        <v>#VALUE!</v>
      </c>
      <c r="DA20" t="e">
        <f>AND(OnDemandVsReservedExample!B49,"AAAAAH9/PWg=")</f>
        <v>#VALUE!</v>
      </c>
      <c r="DB20" t="e">
        <f>AND(OnDemandVsReservedExample!C49,"AAAAAH9/PWk=")</f>
        <v>#VALUE!</v>
      </c>
      <c r="DC20" t="e">
        <f>AND(OnDemandVsReservedExample!D49,"AAAAAH9/PWo=")</f>
        <v>#VALUE!</v>
      </c>
      <c r="DD20" t="e">
        <f>AND(OnDemandVsReservedExample!E49,"AAAAAH9/PWs=")</f>
        <v>#VALUE!</v>
      </c>
      <c r="DE20" t="e">
        <f>AND(OnDemandVsReservedExample!F49,"AAAAAH9/PWw=")</f>
        <v>#VALUE!</v>
      </c>
      <c r="DF20" t="e">
        <f>AND(OnDemandVsReservedExample!G49,"AAAAAH9/PW0=")</f>
        <v>#VALUE!</v>
      </c>
      <c r="DG20" t="e">
        <f>AND(OnDemandVsReservedExample!H49,"AAAAAH9/PW4=")</f>
        <v>#VALUE!</v>
      </c>
      <c r="DH20" t="e">
        <f>AND(OnDemandVsReservedExample!I49,"AAAAAH9/PW8=")</f>
        <v>#VALUE!</v>
      </c>
      <c r="DI20" t="e">
        <f>AND(OnDemandVsReservedExample!J49,"AAAAAH9/PXA=")</f>
        <v>#VALUE!</v>
      </c>
      <c r="DJ20" t="e">
        <f>AND(OnDemandVsReservedExample!K49,"AAAAAH9/PXE=")</f>
        <v>#VALUE!</v>
      </c>
      <c r="DK20" t="e">
        <f>AND(OnDemandVsReservedExample!L49,"AAAAAH9/PXI=")</f>
        <v>#VALUE!</v>
      </c>
      <c r="DL20" t="e">
        <f>AND(OnDemandVsReservedExample!M49,"AAAAAH9/PXM=")</f>
        <v>#VALUE!</v>
      </c>
      <c r="DM20" t="e">
        <f>AND(OnDemandVsReservedExample!N49,"AAAAAH9/PXQ=")</f>
        <v>#VALUE!</v>
      </c>
      <c r="DN20" t="e">
        <f>AND(OnDemandVsReservedExample!O49,"AAAAAH9/PXU=")</f>
        <v>#VALUE!</v>
      </c>
      <c r="DO20" t="e">
        <f>AND(OnDemandVsReservedExample!P49,"AAAAAH9/PXY=")</f>
        <v>#VALUE!</v>
      </c>
      <c r="DP20" t="e">
        <f>AND(OnDemandVsReservedExample!Q49,"AAAAAH9/PXc=")</f>
        <v>#VALUE!</v>
      </c>
      <c r="DQ20">
        <f>IF(OnDemandVsReservedExample!50:50,"AAAAAH9/PXg=",0)</f>
        <v>0</v>
      </c>
      <c r="DR20" t="e">
        <f>AND(OnDemandVsReservedExample!A50,"AAAAAH9/PXk=")</f>
        <v>#VALUE!</v>
      </c>
      <c r="DS20" t="e">
        <f>AND(OnDemandVsReservedExample!B50,"AAAAAH9/PXo=")</f>
        <v>#VALUE!</v>
      </c>
      <c r="DT20" t="e">
        <f>AND(OnDemandVsReservedExample!C50,"AAAAAH9/PXs=")</f>
        <v>#VALUE!</v>
      </c>
      <c r="DU20" t="e">
        <f>AND(OnDemandVsReservedExample!D50,"AAAAAH9/PXw=")</f>
        <v>#VALUE!</v>
      </c>
      <c r="DV20" t="e">
        <f>AND(OnDemandVsReservedExample!E50,"AAAAAH9/PX0=")</f>
        <v>#VALUE!</v>
      </c>
      <c r="DW20" t="e">
        <f>AND(OnDemandVsReservedExample!F50,"AAAAAH9/PX4=")</f>
        <v>#VALUE!</v>
      </c>
      <c r="DX20" t="e">
        <f>AND(OnDemandVsReservedExample!G50,"AAAAAH9/PX8=")</f>
        <v>#VALUE!</v>
      </c>
      <c r="DY20" t="e">
        <f>AND(OnDemandVsReservedExample!H50,"AAAAAH9/PYA=")</f>
        <v>#VALUE!</v>
      </c>
      <c r="DZ20" t="e">
        <f>AND(OnDemandVsReservedExample!I50,"AAAAAH9/PYE=")</f>
        <v>#VALUE!</v>
      </c>
      <c r="EA20" t="e">
        <f>AND(OnDemandVsReservedExample!J50,"AAAAAH9/PYI=")</f>
        <v>#VALUE!</v>
      </c>
      <c r="EB20" t="e">
        <f>AND(OnDemandVsReservedExample!K50,"AAAAAH9/PYM=")</f>
        <v>#VALUE!</v>
      </c>
      <c r="EC20" t="e">
        <f>AND(OnDemandVsReservedExample!L50,"AAAAAH9/PYQ=")</f>
        <v>#VALUE!</v>
      </c>
      <c r="ED20" t="e">
        <f>AND(OnDemandVsReservedExample!M50,"AAAAAH9/PYU=")</f>
        <v>#VALUE!</v>
      </c>
      <c r="EE20" t="e">
        <f>AND(OnDemandVsReservedExample!N50,"AAAAAH9/PYY=")</f>
        <v>#VALUE!</v>
      </c>
      <c r="EF20" t="e">
        <f>AND(OnDemandVsReservedExample!O50,"AAAAAH9/PYc=")</f>
        <v>#VALUE!</v>
      </c>
      <c r="EG20" t="e">
        <f>AND(OnDemandVsReservedExample!P50,"AAAAAH9/PYg=")</f>
        <v>#VALUE!</v>
      </c>
      <c r="EH20" t="e">
        <f>AND(OnDemandVsReservedExample!Q50,"AAAAAH9/PYk=")</f>
        <v>#VALUE!</v>
      </c>
      <c r="EI20">
        <f>IF(OnDemandVsReservedExample!51:51,"AAAAAH9/PYo=",0)</f>
        <v>0</v>
      </c>
      <c r="EJ20" t="e">
        <f>AND(OnDemandVsReservedExample!A51,"AAAAAH9/PYs=")</f>
        <v>#VALUE!</v>
      </c>
      <c r="EK20" t="e">
        <f>AND(OnDemandVsReservedExample!B51,"AAAAAH9/PYw=")</f>
        <v>#VALUE!</v>
      </c>
      <c r="EL20" t="e">
        <f>AND(OnDemandVsReservedExample!C51,"AAAAAH9/PY0=")</f>
        <v>#VALUE!</v>
      </c>
      <c r="EM20" t="e">
        <f>AND(OnDemandVsReservedExample!D51,"AAAAAH9/PY4=")</f>
        <v>#VALUE!</v>
      </c>
      <c r="EN20" t="e">
        <f>AND(OnDemandVsReservedExample!E51,"AAAAAH9/PY8=")</f>
        <v>#VALUE!</v>
      </c>
      <c r="EO20" t="e">
        <f>AND(OnDemandVsReservedExample!F51,"AAAAAH9/PZA=")</f>
        <v>#VALUE!</v>
      </c>
      <c r="EP20" t="e">
        <f>AND(OnDemandVsReservedExample!G51,"AAAAAH9/PZE=")</f>
        <v>#VALUE!</v>
      </c>
      <c r="EQ20" t="e">
        <f>AND(OnDemandVsReservedExample!H51,"AAAAAH9/PZI=")</f>
        <v>#VALUE!</v>
      </c>
      <c r="ER20" t="e">
        <f>AND(OnDemandVsReservedExample!I51,"AAAAAH9/PZM=")</f>
        <v>#VALUE!</v>
      </c>
      <c r="ES20" t="e">
        <f>AND(OnDemandVsReservedExample!J51,"AAAAAH9/PZQ=")</f>
        <v>#VALUE!</v>
      </c>
      <c r="ET20" t="e">
        <f>AND(OnDemandVsReservedExample!K51,"AAAAAH9/PZU=")</f>
        <v>#VALUE!</v>
      </c>
      <c r="EU20" t="e">
        <f>AND(OnDemandVsReservedExample!L51,"AAAAAH9/PZY=")</f>
        <v>#VALUE!</v>
      </c>
      <c r="EV20" t="e">
        <f>AND(OnDemandVsReservedExample!M51,"AAAAAH9/PZc=")</f>
        <v>#VALUE!</v>
      </c>
      <c r="EW20" t="e">
        <f>AND(OnDemandVsReservedExample!N51,"AAAAAH9/PZg=")</f>
        <v>#VALUE!</v>
      </c>
      <c r="EX20" t="e">
        <f>AND(OnDemandVsReservedExample!O51,"AAAAAH9/PZk=")</f>
        <v>#VALUE!</v>
      </c>
      <c r="EY20" t="e">
        <f>AND(OnDemandVsReservedExample!P51,"AAAAAH9/PZo=")</f>
        <v>#VALUE!</v>
      </c>
      <c r="EZ20" t="e">
        <f>AND(OnDemandVsReservedExample!Q51,"AAAAAH9/PZs=")</f>
        <v>#VALUE!</v>
      </c>
      <c r="FA20">
        <f>IF(OnDemandVsReservedExample!52:52,"AAAAAH9/PZw=",0)</f>
        <v>0</v>
      </c>
      <c r="FB20" t="e">
        <f>AND(OnDemandVsReservedExample!A52,"AAAAAH9/PZ0=")</f>
        <v>#VALUE!</v>
      </c>
      <c r="FC20" t="e">
        <f>AND(OnDemandVsReservedExample!B52,"AAAAAH9/PZ4=")</f>
        <v>#VALUE!</v>
      </c>
      <c r="FD20" t="e">
        <f>AND(OnDemandVsReservedExample!C52,"AAAAAH9/PZ8=")</f>
        <v>#VALUE!</v>
      </c>
      <c r="FE20" t="e">
        <f>AND(OnDemandVsReservedExample!D52,"AAAAAH9/PaA=")</f>
        <v>#VALUE!</v>
      </c>
      <c r="FF20" t="e">
        <f>AND(OnDemandVsReservedExample!E52,"AAAAAH9/PaE=")</f>
        <v>#VALUE!</v>
      </c>
      <c r="FG20" t="e">
        <f>AND(OnDemandVsReservedExample!F52,"AAAAAH9/PaI=")</f>
        <v>#VALUE!</v>
      </c>
      <c r="FH20" t="e">
        <f>AND(OnDemandVsReservedExample!G52,"AAAAAH9/PaM=")</f>
        <v>#VALUE!</v>
      </c>
      <c r="FI20" t="e">
        <f>AND(OnDemandVsReservedExample!H52,"AAAAAH9/PaQ=")</f>
        <v>#VALUE!</v>
      </c>
      <c r="FJ20" t="e">
        <f>AND(OnDemandVsReservedExample!I52,"AAAAAH9/PaU=")</f>
        <v>#VALUE!</v>
      </c>
      <c r="FK20" t="e">
        <f>AND(OnDemandVsReservedExample!J52,"AAAAAH9/PaY=")</f>
        <v>#VALUE!</v>
      </c>
      <c r="FL20" t="e">
        <f>AND(OnDemandVsReservedExample!K52,"AAAAAH9/Pac=")</f>
        <v>#VALUE!</v>
      </c>
      <c r="FM20" t="e">
        <f>AND(OnDemandVsReservedExample!L52,"AAAAAH9/Pag=")</f>
        <v>#VALUE!</v>
      </c>
      <c r="FN20" t="e">
        <f>AND(OnDemandVsReservedExample!M52,"AAAAAH9/Pak=")</f>
        <v>#VALUE!</v>
      </c>
      <c r="FO20" t="e">
        <f>AND(OnDemandVsReservedExample!N52,"AAAAAH9/Pao=")</f>
        <v>#VALUE!</v>
      </c>
      <c r="FP20" t="e">
        <f>AND(OnDemandVsReservedExample!O52,"AAAAAH9/Pas=")</f>
        <v>#VALUE!</v>
      </c>
      <c r="FQ20" t="e">
        <f>AND(OnDemandVsReservedExample!P52,"AAAAAH9/Paw=")</f>
        <v>#VALUE!</v>
      </c>
      <c r="FR20" t="e">
        <f>AND(OnDemandVsReservedExample!Q52,"AAAAAH9/Pa0=")</f>
        <v>#VALUE!</v>
      </c>
      <c r="FS20">
        <f>IF(OnDemandVsReservedExample!53:53,"AAAAAH9/Pa4=",0)</f>
        <v>0</v>
      </c>
      <c r="FT20" t="e">
        <f>AND(OnDemandVsReservedExample!A53,"AAAAAH9/Pa8=")</f>
        <v>#VALUE!</v>
      </c>
      <c r="FU20" t="e">
        <f>AND(OnDemandVsReservedExample!B53,"AAAAAH9/PbA=")</f>
        <v>#VALUE!</v>
      </c>
      <c r="FV20" t="e">
        <f>AND(OnDemandVsReservedExample!C53,"AAAAAH9/PbE=")</f>
        <v>#VALUE!</v>
      </c>
      <c r="FW20" t="e">
        <f>AND(OnDemandVsReservedExample!D53,"AAAAAH9/PbI=")</f>
        <v>#VALUE!</v>
      </c>
      <c r="FX20" t="e">
        <f>AND(OnDemandVsReservedExample!E53,"AAAAAH9/PbM=")</f>
        <v>#VALUE!</v>
      </c>
      <c r="FY20" t="e">
        <f>AND(OnDemandVsReservedExample!F53,"AAAAAH9/PbQ=")</f>
        <v>#VALUE!</v>
      </c>
      <c r="FZ20" t="e">
        <f>AND(OnDemandVsReservedExample!G53,"AAAAAH9/PbU=")</f>
        <v>#VALUE!</v>
      </c>
      <c r="GA20" t="e">
        <f>AND(OnDemandVsReservedExample!H53,"AAAAAH9/PbY=")</f>
        <v>#VALUE!</v>
      </c>
      <c r="GB20" t="e">
        <f>AND(OnDemandVsReservedExample!I53,"AAAAAH9/Pbc=")</f>
        <v>#VALUE!</v>
      </c>
      <c r="GC20" t="e">
        <f>AND(OnDemandVsReservedExample!J53,"AAAAAH9/Pbg=")</f>
        <v>#VALUE!</v>
      </c>
      <c r="GD20" t="e">
        <f>AND(OnDemandVsReservedExample!K53,"AAAAAH9/Pbk=")</f>
        <v>#VALUE!</v>
      </c>
      <c r="GE20" t="e">
        <f>AND(OnDemandVsReservedExample!L53,"AAAAAH9/Pbo=")</f>
        <v>#VALUE!</v>
      </c>
      <c r="GF20" t="e">
        <f>AND(OnDemandVsReservedExample!M53,"AAAAAH9/Pbs=")</f>
        <v>#VALUE!</v>
      </c>
      <c r="GG20" t="e">
        <f>AND(OnDemandVsReservedExample!N53,"AAAAAH9/Pbw=")</f>
        <v>#VALUE!</v>
      </c>
      <c r="GH20" t="e">
        <f>AND(OnDemandVsReservedExample!O53,"AAAAAH9/Pb0=")</f>
        <v>#VALUE!</v>
      </c>
      <c r="GI20" t="e">
        <f>AND(OnDemandVsReservedExample!P53,"AAAAAH9/Pb4=")</f>
        <v>#VALUE!</v>
      </c>
      <c r="GJ20" t="e">
        <f>AND(OnDemandVsReservedExample!Q53,"AAAAAH9/Pb8=")</f>
        <v>#VALUE!</v>
      </c>
      <c r="GK20">
        <f>IF(OnDemandVsReservedExample!54:54,"AAAAAH9/PcA=",0)</f>
        <v>0</v>
      </c>
      <c r="GL20" t="e">
        <f>AND(OnDemandVsReservedExample!A54,"AAAAAH9/PcE=")</f>
        <v>#VALUE!</v>
      </c>
      <c r="GM20" t="e">
        <f>AND(OnDemandVsReservedExample!B54,"AAAAAH9/PcI=")</f>
        <v>#VALUE!</v>
      </c>
      <c r="GN20" t="e">
        <f>AND(OnDemandVsReservedExample!C54,"AAAAAH9/PcM=")</f>
        <v>#VALUE!</v>
      </c>
      <c r="GO20" t="e">
        <f>AND(OnDemandVsReservedExample!D54,"AAAAAH9/PcQ=")</f>
        <v>#VALUE!</v>
      </c>
      <c r="GP20" t="e">
        <f>AND(OnDemandVsReservedExample!E54,"AAAAAH9/PcU=")</f>
        <v>#VALUE!</v>
      </c>
      <c r="GQ20" t="e">
        <f>AND(OnDemandVsReservedExample!F54,"AAAAAH9/PcY=")</f>
        <v>#VALUE!</v>
      </c>
      <c r="GR20" t="e">
        <f>AND(OnDemandVsReservedExample!G54,"AAAAAH9/Pcc=")</f>
        <v>#VALUE!</v>
      </c>
      <c r="GS20" t="e">
        <f>AND(OnDemandVsReservedExample!H54,"AAAAAH9/Pcg=")</f>
        <v>#VALUE!</v>
      </c>
      <c r="GT20" t="e">
        <f>AND(OnDemandVsReservedExample!I54,"AAAAAH9/Pck=")</f>
        <v>#VALUE!</v>
      </c>
      <c r="GU20" t="e">
        <f>AND(OnDemandVsReservedExample!J54,"AAAAAH9/Pco=")</f>
        <v>#VALUE!</v>
      </c>
      <c r="GV20" t="e">
        <f>AND(OnDemandVsReservedExample!K54,"AAAAAH9/Pcs=")</f>
        <v>#VALUE!</v>
      </c>
      <c r="GW20" t="e">
        <f>AND(OnDemandVsReservedExample!L54,"AAAAAH9/Pcw=")</f>
        <v>#VALUE!</v>
      </c>
      <c r="GX20" t="e">
        <f>AND(OnDemandVsReservedExample!M54,"AAAAAH9/Pc0=")</f>
        <v>#VALUE!</v>
      </c>
      <c r="GY20" t="e">
        <f>AND(OnDemandVsReservedExample!N54,"AAAAAH9/Pc4=")</f>
        <v>#VALUE!</v>
      </c>
      <c r="GZ20" t="e">
        <f>AND(OnDemandVsReservedExample!O54,"AAAAAH9/Pc8=")</f>
        <v>#VALUE!</v>
      </c>
      <c r="HA20" t="e">
        <f>AND(OnDemandVsReservedExample!P54,"AAAAAH9/PdA=")</f>
        <v>#VALUE!</v>
      </c>
      <c r="HB20" t="e">
        <f>AND(OnDemandVsReservedExample!Q54,"AAAAAH9/PdE=")</f>
        <v>#VALUE!</v>
      </c>
      <c r="HC20">
        <f>IF(OnDemandVsReservedExample!55:55,"AAAAAH9/PdI=",0)</f>
        <v>0</v>
      </c>
      <c r="HD20" t="e">
        <f>AND(OnDemandVsReservedExample!A55,"AAAAAH9/PdM=")</f>
        <v>#VALUE!</v>
      </c>
      <c r="HE20" t="e">
        <f>AND(OnDemandVsReservedExample!B55,"AAAAAH9/PdQ=")</f>
        <v>#VALUE!</v>
      </c>
      <c r="HF20" t="e">
        <f>AND(OnDemandVsReservedExample!C55,"AAAAAH9/PdU=")</f>
        <v>#VALUE!</v>
      </c>
      <c r="HG20" t="e">
        <f>AND(OnDemandVsReservedExample!D55,"AAAAAH9/PdY=")</f>
        <v>#VALUE!</v>
      </c>
      <c r="HH20" t="e">
        <f>AND(OnDemandVsReservedExample!E55,"AAAAAH9/Pdc=")</f>
        <v>#VALUE!</v>
      </c>
      <c r="HI20" t="e">
        <f>AND(OnDemandVsReservedExample!F55,"AAAAAH9/Pdg=")</f>
        <v>#VALUE!</v>
      </c>
      <c r="HJ20" t="e">
        <f>AND(OnDemandVsReservedExample!G55,"AAAAAH9/Pdk=")</f>
        <v>#VALUE!</v>
      </c>
      <c r="HK20" t="e">
        <f>AND(OnDemandVsReservedExample!H55,"AAAAAH9/Pdo=")</f>
        <v>#VALUE!</v>
      </c>
      <c r="HL20" t="e">
        <f>AND(OnDemandVsReservedExample!I55,"AAAAAH9/Pds=")</f>
        <v>#VALUE!</v>
      </c>
      <c r="HM20" t="e">
        <f>AND(OnDemandVsReservedExample!J55,"AAAAAH9/Pdw=")</f>
        <v>#VALUE!</v>
      </c>
      <c r="HN20" t="e">
        <f>AND(OnDemandVsReservedExample!K55,"AAAAAH9/Pd0=")</f>
        <v>#VALUE!</v>
      </c>
      <c r="HO20" t="e">
        <f>AND(OnDemandVsReservedExample!L55,"AAAAAH9/Pd4=")</f>
        <v>#VALUE!</v>
      </c>
      <c r="HP20" t="e">
        <f>AND(OnDemandVsReservedExample!M55,"AAAAAH9/Pd8=")</f>
        <v>#VALUE!</v>
      </c>
      <c r="HQ20" t="e">
        <f>AND(OnDemandVsReservedExample!N55,"AAAAAH9/PeA=")</f>
        <v>#VALUE!</v>
      </c>
      <c r="HR20" t="e">
        <f>AND(OnDemandVsReservedExample!O55,"AAAAAH9/PeE=")</f>
        <v>#VALUE!</v>
      </c>
      <c r="HS20" t="e">
        <f>AND(OnDemandVsReservedExample!P55,"AAAAAH9/PeI=")</f>
        <v>#VALUE!</v>
      </c>
      <c r="HT20" t="e">
        <f>AND(OnDemandVsReservedExample!Q55,"AAAAAH9/PeM=")</f>
        <v>#VALUE!</v>
      </c>
      <c r="HU20">
        <f>IF(OnDemandVsReservedExample!56:56,"AAAAAH9/PeQ=",0)</f>
        <v>0</v>
      </c>
      <c r="HV20" t="e">
        <f>AND(OnDemandVsReservedExample!A56,"AAAAAH9/PeU=")</f>
        <v>#VALUE!</v>
      </c>
      <c r="HW20" t="e">
        <f>AND(OnDemandVsReservedExample!B56,"AAAAAH9/PeY=")</f>
        <v>#VALUE!</v>
      </c>
      <c r="HX20" t="e">
        <f>AND(OnDemandVsReservedExample!C56,"AAAAAH9/Pec=")</f>
        <v>#VALUE!</v>
      </c>
      <c r="HY20" t="e">
        <f>AND(OnDemandVsReservedExample!D56,"AAAAAH9/Peg=")</f>
        <v>#VALUE!</v>
      </c>
      <c r="HZ20" t="e">
        <f>AND(OnDemandVsReservedExample!E56,"AAAAAH9/Pek=")</f>
        <v>#VALUE!</v>
      </c>
      <c r="IA20" t="e">
        <f>AND(OnDemandVsReservedExample!F56,"AAAAAH9/Peo=")</f>
        <v>#VALUE!</v>
      </c>
      <c r="IB20" t="e">
        <f>AND(OnDemandVsReservedExample!G56,"AAAAAH9/Pes=")</f>
        <v>#VALUE!</v>
      </c>
      <c r="IC20" t="e">
        <f>AND(OnDemandVsReservedExample!H56,"AAAAAH9/Pew=")</f>
        <v>#VALUE!</v>
      </c>
      <c r="ID20" t="e">
        <f>AND(OnDemandVsReservedExample!I56,"AAAAAH9/Pe0=")</f>
        <v>#VALUE!</v>
      </c>
      <c r="IE20" t="e">
        <f>AND(OnDemandVsReservedExample!J56,"AAAAAH9/Pe4=")</f>
        <v>#VALUE!</v>
      </c>
      <c r="IF20" t="e">
        <f>AND(OnDemandVsReservedExample!K56,"AAAAAH9/Pe8=")</f>
        <v>#VALUE!</v>
      </c>
      <c r="IG20" t="e">
        <f>AND(OnDemandVsReservedExample!L56,"AAAAAH9/PfA=")</f>
        <v>#VALUE!</v>
      </c>
      <c r="IH20" t="e">
        <f>AND(OnDemandVsReservedExample!M56,"AAAAAH9/PfE=")</f>
        <v>#VALUE!</v>
      </c>
      <c r="II20" t="e">
        <f>AND(OnDemandVsReservedExample!N56,"AAAAAH9/PfI=")</f>
        <v>#VALUE!</v>
      </c>
      <c r="IJ20" t="e">
        <f>AND(OnDemandVsReservedExample!O56,"AAAAAH9/PfM=")</f>
        <v>#VALUE!</v>
      </c>
      <c r="IK20" t="e">
        <f>AND(OnDemandVsReservedExample!P56,"AAAAAH9/PfQ=")</f>
        <v>#VALUE!</v>
      </c>
      <c r="IL20" t="e">
        <f>AND(OnDemandVsReservedExample!Q56,"AAAAAH9/PfU=")</f>
        <v>#VALUE!</v>
      </c>
      <c r="IM20">
        <f>IF(OnDemandVsReservedExample!57:57,"AAAAAH9/PfY=",0)</f>
        <v>0</v>
      </c>
      <c r="IN20" t="e">
        <f>AND(OnDemandVsReservedExample!A57,"AAAAAH9/Pfc=")</f>
        <v>#VALUE!</v>
      </c>
      <c r="IO20" t="e">
        <f>AND(OnDemandVsReservedExample!B57,"AAAAAH9/Pfg=")</f>
        <v>#VALUE!</v>
      </c>
      <c r="IP20" t="e">
        <f>AND(OnDemandVsReservedExample!C57,"AAAAAH9/Pfk=")</f>
        <v>#VALUE!</v>
      </c>
      <c r="IQ20" t="e">
        <f>AND(OnDemandVsReservedExample!D57,"AAAAAH9/Pfo=")</f>
        <v>#VALUE!</v>
      </c>
      <c r="IR20" t="e">
        <f>AND(OnDemandVsReservedExample!E57,"AAAAAH9/Pfs=")</f>
        <v>#VALUE!</v>
      </c>
      <c r="IS20" t="e">
        <f>AND(OnDemandVsReservedExample!F57,"AAAAAH9/Pfw=")</f>
        <v>#VALUE!</v>
      </c>
      <c r="IT20" t="e">
        <f>AND(OnDemandVsReservedExample!G57,"AAAAAH9/Pf0=")</f>
        <v>#VALUE!</v>
      </c>
      <c r="IU20" t="e">
        <f>AND(OnDemandVsReservedExample!H57,"AAAAAH9/Pf4=")</f>
        <v>#VALUE!</v>
      </c>
      <c r="IV20" t="e">
        <f>AND(OnDemandVsReservedExample!I57,"AAAAAH9/Pf8=")</f>
        <v>#VALUE!</v>
      </c>
    </row>
    <row r="21" spans="1:256" x14ac:dyDescent="0.25">
      <c r="A21" t="e">
        <f>AND(OnDemandVsReservedExample!J57,"AAAAAGeVzwA=")</f>
        <v>#VALUE!</v>
      </c>
      <c r="B21" t="e">
        <f>AND(OnDemandVsReservedExample!K57,"AAAAAGeVzwE=")</f>
        <v>#VALUE!</v>
      </c>
      <c r="C21" t="e">
        <f>AND(OnDemandVsReservedExample!L57,"AAAAAGeVzwI=")</f>
        <v>#VALUE!</v>
      </c>
      <c r="D21" t="e">
        <f>AND(OnDemandVsReservedExample!M57,"AAAAAGeVzwM=")</f>
        <v>#VALUE!</v>
      </c>
      <c r="E21" t="e">
        <f>AND(OnDemandVsReservedExample!N57,"AAAAAGeVzwQ=")</f>
        <v>#VALUE!</v>
      </c>
      <c r="F21" t="e">
        <f>AND(OnDemandVsReservedExample!O57,"AAAAAGeVzwU=")</f>
        <v>#VALUE!</v>
      </c>
      <c r="G21" t="e">
        <f>AND(OnDemandVsReservedExample!P57,"AAAAAGeVzwY=")</f>
        <v>#VALUE!</v>
      </c>
      <c r="H21" t="e">
        <f>AND(OnDemandVsReservedExample!Q57,"AAAAAGeVzwc=")</f>
        <v>#VALUE!</v>
      </c>
      <c r="I21">
        <f>IF(OnDemandVsReservedExample!58:58,"AAAAAGeVzwg=",0)</f>
        <v>0</v>
      </c>
      <c r="J21" t="e">
        <f>AND(OnDemandVsReservedExample!A58,"AAAAAGeVzwk=")</f>
        <v>#VALUE!</v>
      </c>
      <c r="K21" t="e">
        <f>AND(OnDemandVsReservedExample!B58,"AAAAAGeVzwo=")</f>
        <v>#VALUE!</v>
      </c>
      <c r="L21" t="e">
        <f>AND(OnDemandVsReservedExample!C58,"AAAAAGeVzws=")</f>
        <v>#VALUE!</v>
      </c>
      <c r="M21" t="e">
        <f>AND(OnDemandVsReservedExample!D58,"AAAAAGeVzww=")</f>
        <v>#VALUE!</v>
      </c>
      <c r="N21" t="e">
        <f>AND(OnDemandVsReservedExample!E58,"AAAAAGeVzw0=")</f>
        <v>#VALUE!</v>
      </c>
      <c r="O21" t="e">
        <f>AND(OnDemandVsReservedExample!F58,"AAAAAGeVzw4=")</f>
        <v>#VALUE!</v>
      </c>
      <c r="P21" t="e">
        <f>AND(OnDemandVsReservedExample!G58,"AAAAAGeVzw8=")</f>
        <v>#VALUE!</v>
      </c>
      <c r="Q21" t="e">
        <f>AND(OnDemandVsReservedExample!H58,"AAAAAGeVzxA=")</f>
        <v>#VALUE!</v>
      </c>
      <c r="R21" t="e">
        <f>AND(OnDemandVsReservedExample!I58,"AAAAAGeVzxE=")</f>
        <v>#VALUE!</v>
      </c>
      <c r="S21" t="e">
        <f>AND(OnDemandVsReservedExample!J58,"AAAAAGeVzxI=")</f>
        <v>#VALUE!</v>
      </c>
      <c r="T21" t="e">
        <f>AND(OnDemandVsReservedExample!K58,"AAAAAGeVzxM=")</f>
        <v>#VALUE!</v>
      </c>
      <c r="U21" t="e">
        <f>AND(OnDemandVsReservedExample!L58,"AAAAAGeVzxQ=")</f>
        <v>#VALUE!</v>
      </c>
      <c r="V21" t="e">
        <f>AND(OnDemandVsReservedExample!M58,"AAAAAGeVzxU=")</f>
        <v>#VALUE!</v>
      </c>
      <c r="W21" t="e">
        <f>AND(OnDemandVsReservedExample!N58,"AAAAAGeVzxY=")</f>
        <v>#VALUE!</v>
      </c>
      <c r="X21" t="e">
        <f>AND(OnDemandVsReservedExample!O58,"AAAAAGeVzxc=")</f>
        <v>#VALUE!</v>
      </c>
      <c r="Y21" t="e">
        <f>AND(OnDemandVsReservedExample!P58,"AAAAAGeVzxg=")</f>
        <v>#VALUE!</v>
      </c>
      <c r="Z21" t="e">
        <f>AND(OnDemandVsReservedExample!Q58,"AAAAAGeVzxk=")</f>
        <v>#VALUE!</v>
      </c>
      <c r="AA21">
        <f>IF(OnDemandVsReservedExample!59:59,"AAAAAGeVzxo=",0)</f>
        <v>0</v>
      </c>
      <c r="AB21" t="e">
        <f>AND(OnDemandVsReservedExample!A59,"AAAAAGeVzxs=")</f>
        <v>#VALUE!</v>
      </c>
      <c r="AC21" t="e">
        <f>AND(OnDemandVsReservedExample!B59,"AAAAAGeVzxw=")</f>
        <v>#VALUE!</v>
      </c>
      <c r="AD21" t="e">
        <f>AND(OnDemandVsReservedExample!C59,"AAAAAGeVzx0=")</f>
        <v>#VALUE!</v>
      </c>
      <c r="AE21" t="e">
        <f>AND(OnDemandVsReservedExample!D59,"AAAAAGeVzx4=")</f>
        <v>#VALUE!</v>
      </c>
      <c r="AF21" t="e">
        <f>AND(OnDemandVsReservedExample!E59,"AAAAAGeVzx8=")</f>
        <v>#VALUE!</v>
      </c>
      <c r="AG21" t="e">
        <f>AND(OnDemandVsReservedExample!F59,"AAAAAGeVzyA=")</f>
        <v>#VALUE!</v>
      </c>
      <c r="AH21" t="e">
        <f>AND(OnDemandVsReservedExample!G59,"AAAAAGeVzyE=")</f>
        <v>#VALUE!</v>
      </c>
      <c r="AI21" t="e">
        <f>AND(OnDemandVsReservedExample!H59,"AAAAAGeVzyI=")</f>
        <v>#VALUE!</v>
      </c>
      <c r="AJ21" t="e">
        <f>AND(OnDemandVsReservedExample!I59,"AAAAAGeVzyM=")</f>
        <v>#VALUE!</v>
      </c>
      <c r="AK21" t="e">
        <f>AND(OnDemandVsReservedExample!J59,"AAAAAGeVzyQ=")</f>
        <v>#VALUE!</v>
      </c>
      <c r="AL21" t="e">
        <f>AND(OnDemandVsReservedExample!K59,"AAAAAGeVzyU=")</f>
        <v>#VALUE!</v>
      </c>
      <c r="AM21" t="e">
        <f>AND(OnDemandVsReservedExample!L59,"AAAAAGeVzyY=")</f>
        <v>#VALUE!</v>
      </c>
      <c r="AN21" t="e">
        <f>AND(OnDemandVsReservedExample!M59,"AAAAAGeVzyc=")</f>
        <v>#VALUE!</v>
      </c>
      <c r="AO21" t="e">
        <f>AND(OnDemandVsReservedExample!N59,"AAAAAGeVzyg=")</f>
        <v>#VALUE!</v>
      </c>
      <c r="AP21" t="e">
        <f>AND(OnDemandVsReservedExample!O59,"AAAAAGeVzyk=")</f>
        <v>#VALUE!</v>
      </c>
      <c r="AQ21" t="e">
        <f>AND(OnDemandVsReservedExample!P59,"AAAAAGeVzyo=")</f>
        <v>#VALUE!</v>
      </c>
      <c r="AR21" t="e">
        <f>AND(OnDemandVsReservedExample!Q59,"AAAAAGeVzys=")</f>
        <v>#VALUE!</v>
      </c>
      <c r="AS21">
        <f>IF(OnDemandVsReservedExample!60:60,"AAAAAGeVzyw=",0)</f>
        <v>0</v>
      </c>
      <c r="AT21" t="e">
        <f>AND(OnDemandVsReservedExample!A60,"AAAAAGeVzy0=")</f>
        <v>#VALUE!</v>
      </c>
      <c r="AU21" t="e">
        <f>AND(OnDemandVsReservedExample!B60,"AAAAAGeVzy4=")</f>
        <v>#VALUE!</v>
      </c>
      <c r="AV21" t="e">
        <f>AND(OnDemandVsReservedExample!C60,"AAAAAGeVzy8=")</f>
        <v>#VALUE!</v>
      </c>
      <c r="AW21" t="e">
        <f>AND(OnDemandVsReservedExample!D60,"AAAAAGeVzzA=")</f>
        <v>#VALUE!</v>
      </c>
      <c r="AX21" t="e">
        <f>AND(OnDemandVsReservedExample!E60,"AAAAAGeVzzE=")</f>
        <v>#VALUE!</v>
      </c>
      <c r="AY21" t="e">
        <f>AND(OnDemandVsReservedExample!F60,"AAAAAGeVzzI=")</f>
        <v>#VALUE!</v>
      </c>
      <c r="AZ21" t="e">
        <f>AND(OnDemandVsReservedExample!G60,"AAAAAGeVzzM=")</f>
        <v>#VALUE!</v>
      </c>
      <c r="BA21" t="e">
        <f>AND(OnDemandVsReservedExample!H60,"AAAAAGeVzzQ=")</f>
        <v>#VALUE!</v>
      </c>
      <c r="BB21" t="e">
        <f>AND(OnDemandVsReservedExample!I60,"AAAAAGeVzzU=")</f>
        <v>#VALUE!</v>
      </c>
      <c r="BC21" t="e">
        <f>AND(OnDemandVsReservedExample!J60,"AAAAAGeVzzY=")</f>
        <v>#VALUE!</v>
      </c>
      <c r="BD21" t="e">
        <f>AND(OnDemandVsReservedExample!K60,"AAAAAGeVzzc=")</f>
        <v>#VALUE!</v>
      </c>
      <c r="BE21" t="e">
        <f>AND(OnDemandVsReservedExample!L60,"AAAAAGeVzzg=")</f>
        <v>#VALUE!</v>
      </c>
      <c r="BF21" t="e">
        <f>AND(OnDemandVsReservedExample!M60,"AAAAAGeVzzk=")</f>
        <v>#VALUE!</v>
      </c>
      <c r="BG21" t="e">
        <f>AND(OnDemandVsReservedExample!N60,"AAAAAGeVzzo=")</f>
        <v>#VALUE!</v>
      </c>
      <c r="BH21" t="e">
        <f>AND(OnDemandVsReservedExample!O60,"AAAAAGeVzzs=")</f>
        <v>#VALUE!</v>
      </c>
      <c r="BI21" t="e">
        <f>AND(OnDemandVsReservedExample!P60,"AAAAAGeVzzw=")</f>
        <v>#VALUE!</v>
      </c>
      <c r="BJ21" t="e">
        <f>AND(OnDemandVsReservedExample!Q60,"AAAAAGeVzz0=")</f>
        <v>#VALUE!</v>
      </c>
      <c r="BK21">
        <f>IF(OnDemandVsReservedExample!61:61,"AAAAAGeVzz4=",0)</f>
        <v>0</v>
      </c>
      <c r="BL21" t="e">
        <f>AND(OnDemandVsReservedExample!A61,"AAAAAGeVzz8=")</f>
        <v>#VALUE!</v>
      </c>
      <c r="BM21" t="e">
        <f>AND(OnDemandVsReservedExample!B61,"AAAAAGeVz0A=")</f>
        <v>#VALUE!</v>
      </c>
      <c r="BN21" t="e">
        <f>AND(OnDemandVsReservedExample!C61,"AAAAAGeVz0E=")</f>
        <v>#VALUE!</v>
      </c>
      <c r="BO21" t="e">
        <f>AND(OnDemandVsReservedExample!D61,"AAAAAGeVz0I=")</f>
        <v>#VALUE!</v>
      </c>
      <c r="BP21" t="e">
        <f>AND(OnDemandVsReservedExample!E61,"AAAAAGeVz0M=")</f>
        <v>#VALUE!</v>
      </c>
      <c r="BQ21" t="e">
        <f>AND(OnDemandVsReservedExample!F61,"AAAAAGeVz0Q=")</f>
        <v>#VALUE!</v>
      </c>
      <c r="BR21" t="e">
        <f>AND(OnDemandVsReservedExample!G61,"AAAAAGeVz0U=")</f>
        <v>#VALUE!</v>
      </c>
      <c r="BS21" t="e">
        <f>AND(OnDemandVsReservedExample!H61,"AAAAAGeVz0Y=")</f>
        <v>#VALUE!</v>
      </c>
      <c r="BT21" t="e">
        <f>AND(OnDemandVsReservedExample!I61,"AAAAAGeVz0c=")</f>
        <v>#VALUE!</v>
      </c>
      <c r="BU21" t="e">
        <f>AND(OnDemandVsReservedExample!J61,"AAAAAGeVz0g=")</f>
        <v>#VALUE!</v>
      </c>
      <c r="BV21" t="e">
        <f>AND(OnDemandVsReservedExample!K61,"AAAAAGeVz0k=")</f>
        <v>#VALUE!</v>
      </c>
      <c r="BW21" t="e">
        <f>AND(OnDemandVsReservedExample!L61,"AAAAAGeVz0o=")</f>
        <v>#VALUE!</v>
      </c>
      <c r="BX21" t="e">
        <f>AND(OnDemandVsReservedExample!M61,"AAAAAGeVz0s=")</f>
        <v>#VALUE!</v>
      </c>
      <c r="BY21" t="e">
        <f>AND(OnDemandVsReservedExample!N61,"AAAAAGeVz0w=")</f>
        <v>#VALUE!</v>
      </c>
      <c r="BZ21" t="e">
        <f>AND(OnDemandVsReservedExample!O61,"AAAAAGeVz00=")</f>
        <v>#VALUE!</v>
      </c>
      <c r="CA21" t="e">
        <f>AND(OnDemandVsReservedExample!P61,"AAAAAGeVz04=")</f>
        <v>#VALUE!</v>
      </c>
      <c r="CB21" t="e">
        <f>AND(OnDemandVsReservedExample!Q61,"AAAAAGeVz08=")</f>
        <v>#VALUE!</v>
      </c>
      <c r="CC21">
        <f>IF(OnDemandVsReservedExample!62:62,"AAAAAGeVz1A=",0)</f>
        <v>0</v>
      </c>
      <c r="CD21" t="e">
        <f>AND(OnDemandVsReservedExample!A62,"AAAAAGeVz1E=")</f>
        <v>#VALUE!</v>
      </c>
      <c r="CE21" t="e">
        <f>AND(OnDemandVsReservedExample!B62,"AAAAAGeVz1I=")</f>
        <v>#VALUE!</v>
      </c>
      <c r="CF21" t="e">
        <f>AND(OnDemandVsReservedExample!C62,"AAAAAGeVz1M=")</f>
        <v>#VALUE!</v>
      </c>
      <c r="CG21" t="e">
        <f>AND(OnDemandVsReservedExample!D62,"AAAAAGeVz1Q=")</f>
        <v>#VALUE!</v>
      </c>
      <c r="CH21" t="e">
        <f>AND(OnDemandVsReservedExample!E62,"AAAAAGeVz1U=")</f>
        <v>#VALUE!</v>
      </c>
      <c r="CI21" t="e">
        <f>AND(OnDemandVsReservedExample!F62,"AAAAAGeVz1Y=")</f>
        <v>#VALUE!</v>
      </c>
      <c r="CJ21" t="e">
        <f>AND(OnDemandVsReservedExample!G62,"AAAAAGeVz1c=")</f>
        <v>#VALUE!</v>
      </c>
      <c r="CK21" t="e">
        <f>AND(OnDemandVsReservedExample!H62,"AAAAAGeVz1g=")</f>
        <v>#VALUE!</v>
      </c>
      <c r="CL21" t="e">
        <f>AND(OnDemandVsReservedExample!I62,"AAAAAGeVz1k=")</f>
        <v>#VALUE!</v>
      </c>
      <c r="CM21" t="e">
        <f>AND(OnDemandVsReservedExample!J62,"AAAAAGeVz1o=")</f>
        <v>#VALUE!</v>
      </c>
      <c r="CN21" t="e">
        <f>AND(OnDemandVsReservedExample!K62,"AAAAAGeVz1s=")</f>
        <v>#VALUE!</v>
      </c>
      <c r="CO21" t="e">
        <f>AND(OnDemandVsReservedExample!L62,"AAAAAGeVz1w=")</f>
        <v>#VALUE!</v>
      </c>
      <c r="CP21" t="e">
        <f>AND(OnDemandVsReservedExample!M62,"AAAAAGeVz10=")</f>
        <v>#VALUE!</v>
      </c>
      <c r="CQ21" t="e">
        <f>AND(OnDemandVsReservedExample!N62,"AAAAAGeVz14=")</f>
        <v>#VALUE!</v>
      </c>
      <c r="CR21" t="e">
        <f>AND(OnDemandVsReservedExample!O62,"AAAAAGeVz18=")</f>
        <v>#VALUE!</v>
      </c>
      <c r="CS21" t="e">
        <f>AND(OnDemandVsReservedExample!P62,"AAAAAGeVz2A=")</f>
        <v>#VALUE!</v>
      </c>
      <c r="CT21" t="e">
        <f>AND(OnDemandVsReservedExample!Q62,"AAAAAGeVz2E=")</f>
        <v>#VALUE!</v>
      </c>
      <c r="CU21">
        <f>IF(OnDemandVsReservedExample!63:63,"AAAAAGeVz2I=",0)</f>
        <v>0</v>
      </c>
      <c r="CV21" t="e">
        <f>AND(OnDemandVsReservedExample!A63,"AAAAAGeVz2M=")</f>
        <v>#VALUE!</v>
      </c>
      <c r="CW21" t="e">
        <f>AND(OnDemandVsReservedExample!B63,"AAAAAGeVz2Q=")</f>
        <v>#VALUE!</v>
      </c>
      <c r="CX21" t="e">
        <f>AND(OnDemandVsReservedExample!C63,"AAAAAGeVz2U=")</f>
        <v>#VALUE!</v>
      </c>
      <c r="CY21" t="e">
        <f>AND(OnDemandVsReservedExample!D63,"AAAAAGeVz2Y=")</f>
        <v>#VALUE!</v>
      </c>
      <c r="CZ21" t="e">
        <f>AND(OnDemandVsReservedExample!E63,"AAAAAGeVz2c=")</f>
        <v>#VALUE!</v>
      </c>
      <c r="DA21" t="e">
        <f>AND(OnDemandVsReservedExample!F63,"AAAAAGeVz2g=")</f>
        <v>#VALUE!</v>
      </c>
      <c r="DB21" t="e">
        <f>AND(OnDemandVsReservedExample!G63,"AAAAAGeVz2k=")</f>
        <v>#VALUE!</v>
      </c>
      <c r="DC21" t="e">
        <f>AND(OnDemandVsReservedExample!H63,"AAAAAGeVz2o=")</f>
        <v>#VALUE!</v>
      </c>
      <c r="DD21" t="e">
        <f>AND(OnDemandVsReservedExample!I63,"AAAAAGeVz2s=")</f>
        <v>#VALUE!</v>
      </c>
      <c r="DE21" t="e">
        <f>AND(OnDemandVsReservedExample!J63,"AAAAAGeVz2w=")</f>
        <v>#VALUE!</v>
      </c>
      <c r="DF21" t="e">
        <f>AND(OnDemandVsReservedExample!K63,"AAAAAGeVz20=")</f>
        <v>#VALUE!</v>
      </c>
      <c r="DG21" t="e">
        <f>AND(OnDemandVsReservedExample!L63,"AAAAAGeVz24=")</f>
        <v>#VALUE!</v>
      </c>
      <c r="DH21" t="e">
        <f>AND(OnDemandVsReservedExample!M63,"AAAAAGeVz28=")</f>
        <v>#VALUE!</v>
      </c>
      <c r="DI21" t="e">
        <f>AND(OnDemandVsReservedExample!N63,"AAAAAGeVz3A=")</f>
        <v>#VALUE!</v>
      </c>
      <c r="DJ21" t="e">
        <f>AND(OnDemandVsReservedExample!O63,"AAAAAGeVz3E=")</f>
        <v>#VALUE!</v>
      </c>
      <c r="DK21" t="e">
        <f>AND(OnDemandVsReservedExample!P63,"AAAAAGeVz3I=")</f>
        <v>#VALUE!</v>
      </c>
      <c r="DL21" t="e">
        <f>AND(OnDemandVsReservedExample!Q63,"AAAAAGeVz3M=")</f>
        <v>#VALUE!</v>
      </c>
      <c r="DM21">
        <f>IF(OnDemandVsReservedExample!64:64,"AAAAAGeVz3Q=",0)</f>
        <v>0</v>
      </c>
      <c r="DN21" t="e">
        <f>AND(OnDemandVsReservedExample!A64,"AAAAAGeVz3U=")</f>
        <v>#VALUE!</v>
      </c>
      <c r="DO21" t="e">
        <f>AND(OnDemandVsReservedExample!B64,"AAAAAGeVz3Y=")</f>
        <v>#VALUE!</v>
      </c>
      <c r="DP21" t="e">
        <f>AND(OnDemandVsReservedExample!C64,"AAAAAGeVz3c=")</f>
        <v>#VALUE!</v>
      </c>
      <c r="DQ21" t="e">
        <f>AND(OnDemandVsReservedExample!D64,"AAAAAGeVz3g=")</f>
        <v>#VALUE!</v>
      </c>
      <c r="DR21" t="e">
        <f>AND(OnDemandVsReservedExample!E64,"AAAAAGeVz3k=")</f>
        <v>#VALUE!</v>
      </c>
      <c r="DS21" t="e">
        <f>AND(OnDemandVsReservedExample!F64,"AAAAAGeVz3o=")</f>
        <v>#VALUE!</v>
      </c>
      <c r="DT21" t="e">
        <f>AND(OnDemandVsReservedExample!G64,"AAAAAGeVz3s=")</f>
        <v>#VALUE!</v>
      </c>
      <c r="DU21" t="e">
        <f>AND(OnDemandVsReservedExample!H64,"AAAAAGeVz3w=")</f>
        <v>#VALUE!</v>
      </c>
      <c r="DV21" t="e">
        <f>AND(OnDemandVsReservedExample!I64,"AAAAAGeVz30=")</f>
        <v>#VALUE!</v>
      </c>
      <c r="DW21" t="e">
        <f>AND(OnDemandVsReservedExample!J64,"AAAAAGeVz34=")</f>
        <v>#VALUE!</v>
      </c>
      <c r="DX21" t="e">
        <f>AND(OnDemandVsReservedExample!K64,"AAAAAGeVz38=")</f>
        <v>#VALUE!</v>
      </c>
      <c r="DY21" t="e">
        <f>AND(OnDemandVsReservedExample!L64,"AAAAAGeVz4A=")</f>
        <v>#VALUE!</v>
      </c>
      <c r="DZ21" t="e">
        <f>AND(OnDemandVsReservedExample!M64,"AAAAAGeVz4E=")</f>
        <v>#VALUE!</v>
      </c>
      <c r="EA21" t="e">
        <f>AND(OnDemandVsReservedExample!N64,"AAAAAGeVz4I=")</f>
        <v>#VALUE!</v>
      </c>
      <c r="EB21" t="e">
        <f>AND(OnDemandVsReservedExample!O64,"AAAAAGeVz4M=")</f>
        <v>#VALUE!</v>
      </c>
      <c r="EC21" t="e">
        <f>AND(OnDemandVsReservedExample!P64,"AAAAAGeVz4Q=")</f>
        <v>#VALUE!</v>
      </c>
      <c r="ED21" t="e">
        <f>AND(OnDemandVsReservedExample!Q64,"AAAAAGeVz4U=")</f>
        <v>#VALUE!</v>
      </c>
      <c r="EE21">
        <f>IF(OnDemandVsReservedExample!65:65,"AAAAAGeVz4Y=",0)</f>
        <v>0</v>
      </c>
      <c r="EF21" t="e">
        <f>AND(OnDemandVsReservedExample!A65,"AAAAAGeVz4c=")</f>
        <v>#VALUE!</v>
      </c>
      <c r="EG21" t="e">
        <f>AND(OnDemandVsReservedExample!B65,"AAAAAGeVz4g=")</f>
        <v>#VALUE!</v>
      </c>
      <c r="EH21" t="e">
        <f>AND(OnDemandVsReservedExample!C65,"AAAAAGeVz4k=")</f>
        <v>#VALUE!</v>
      </c>
      <c r="EI21" t="e">
        <f>AND(OnDemandVsReservedExample!D65,"AAAAAGeVz4o=")</f>
        <v>#VALUE!</v>
      </c>
      <c r="EJ21" t="e">
        <f>AND(OnDemandVsReservedExample!E65,"AAAAAGeVz4s=")</f>
        <v>#VALUE!</v>
      </c>
      <c r="EK21" t="e">
        <f>AND(OnDemandVsReservedExample!F65,"AAAAAGeVz4w=")</f>
        <v>#VALUE!</v>
      </c>
      <c r="EL21" t="e">
        <f>AND(OnDemandVsReservedExample!G65,"AAAAAGeVz40=")</f>
        <v>#VALUE!</v>
      </c>
      <c r="EM21" t="e">
        <f>AND(OnDemandVsReservedExample!H65,"AAAAAGeVz44=")</f>
        <v>#VALUE!</v>
      </c>
      <c r="EN21" t="e">
        <f>AND(OnDemandVsReservedExample!I65,"AAAAAGeVz48=")</f>
        <v>#VALUE!</v>
      </c>
      <c r="EO21" t="e">
        <f>AND(OnDemandVsReservedExample!J65,"AAAAAGeVz5A=")</f>
        <v>#VALUE!</v>
      </c>
      <c r="EP21" t="e">
        <f>AND(OnDemandVsReservedExample!K65,"AAAAAGeVz5E=")</f>
        <v>#VALUE!</v>
      </c>
      <c r="EQ21" t="e">
        <f>AND(OnDemandVsReservedExample!L65,"AAAAAGeVz5I=")</f>
        <v>#VALUE!</v>
      </c>
      <c r="ER21" t="e">
        <f>AND(OnDemandVsReservedExample!M65,"AAAAAGeVz5M=")</f>
        <v>#VALUE!</v>
      </c>
      <c r="ES21" t="e">
        <f>AND(OnDemandVsReservedExample!N65,"AAAAAGeVz5Q=")</f>
        <v>#VALUE!</v>
      </c>
      <c r="ET21" t="e">
        <f>AND(OnDemandVsReservedExample!O65,"AAAAAGeVz5U=")</f>
        <v>#VALUE!</v>
      </c>
      <c r="EU21" t="e">
        <f>AND(OnDemandVsReservedExample!P65,"AAAAAGeVz5Y=")</f>
        <v>#VALUE!</v>
      </c>
      <c r="EV21" t="e">
        <f>AND(OnDemandVsReservedExample!Q65,"AAAAAGeVz5c=")</f>
        <v>#VALUE!</v>
      </c>
      <c r="EW21">
        <f>IF(OnDemandVsReservedExample!66:66,"AAAAAGeVz5g=",0)</f>
        <v>0</v>
      </c>
      <c r="EX21" t="e">
        <f>AND(OnDemandVsReservedExample!A66,"AAAAAGeVz5k=")</f>
        <v>#VALUE!</v>
      </c>
      <c r="EY21">
        <f>IF(OnDemandVsReservedExample!67:67,"AAAAAGeVz5o=",0)</f>
        <v>0</v>
      </c>
      <c r="EZ21" t="e">
        <f>AND(OnDemandVsReservedExample!A67,"AAAAAGeVz5s=")</f>
        <v>#VALUE!</v>
      </c>
      <c r="FA21" t="e">
        <f>IF(OnDemandVsReservedExample!A:A,"AAAAAGeVz5w=",0)</f>
        <v>#VALUE!</v>
      </c>
      <c r="FB21">
        <f>IF(OnDemandVsReservedExample!B:B,"AAAAAGeVz50=",0)</f>
        <v>0</v>
      </c>
      <c r="FC21">
        <f>IF(OnDemandVsReservedExample!C:C,"AAAAAGeVz54=",0)</f>
        <v>0</v>
      </c>
      <c r="FD21">
        <f>IF(OnDemandVsReservedExample!D:D,"AAAAAGeVz58=",0)</f>
        <v>0</v>
      </c>
      <c r="FE21">
        <f>IF(OnDemandVsReservedExample!E:E,"AAAAAGeVz6A=",0)</f>
        <v>0</v>
      </c>
      <c r="FF21">
        <f>IF(OnDemandVsReservedExample!F:F,"AAAAAGeVz6E=",0)</f>
        <v>0</v>
      </c>
      <c r="FG21">
        <f>IF(OnDemandVsReservedExample!G:G,"AAAAAGeVz6I=",0)</f>
        <v>0</v>
      </c>
      <c r="FH21">
        <f>IF(OnDemandVsReservedExample!H:H,"AAAAAGeVz6M=",0)</f>
        <v>0</v>
      </c>
      <c r="FI21">
        <f>IF(OnDemandVsReservedExample!I:I,"AAAAAGeVz6Q=",0)</f>
        <v>0</v>
      </c>
      <c r="FJ21">
        <f>IF(OnDemandVsReservedExample!J:J,"AAAAAGeVz6U=",0)</f>
        <v>0</v>
      </c>
      <c r="FK21">
        <f>IF(OnDemandVsReservedExample!K:K,"AAAAAGeVz6Y=",0)</f>
        <v>0</v>
      </c>
      <c r="FL21">
        <f>IF(OnDemandVsReservedExample!L:L,"AAAAAGeVz6c=",0)</f>
        <v>0</v>
      </c>
      <c r="FM21">
        <f>IF(OnDemandVsReservedExample!M:M,"AAAAAGeVz6g=",0)</f>
        <v>0</v>
      </c>
      <c r="FN21">
        <f>IF(OnDemandVsReservedExample!N:N,"AAAAAGeVz6k=",0)</f>
        <v>0</v>
      </c>
      <c r="FO21" t="str">
        <f>IF(OnDemandVsReservedExample!O:O,"AAAAAGeVz6o=",0)</f>
        <v>AAAAAGeVz6o=</v>
      </c>
      <c r="FP21" t="str">
        <f>IF(OnDemandVsReservedExample!P:P,"AAAAAGeVz6s=",0)</f>
        <v>AAAAAGeVz6s=</v>
      </c>
      <c r="FQ21" t="str">
        <f>IF(OnDemandVsReservedExample!Q:Q,"AAAAAGeVz6w=",0)</f>
        <v>AAAAAGeVz6w=</v>
      </c>
      <c r="FR21">
        <f>IF(OnDemandVsReservedOverview!1:1,"AAAAAGeVz60=",0)</f>
        <v>0</v>
      </c>
      <c r="FS21" t="e">
        <f>AND(OnDemandVsReservedOverview!A1,"AAAAAGeVz64=")</f>
        <v>#VALUE!</v>
      </c>
      <c r="FT21" t="e">
        <f>AND(OnDemandVsReservedOverview!B1,"AAAAAGeVz68=")</f>
        <v>#VALUE!</v>
      </c>
      <c r="FU21" t="e">
        <f>AND(OnDemandVsReservedOverview!C1,"AAAAAGeVz7A=")</f>
        <v>#VALUE!</v>
      </c>
      <c r="FV21" t="e">
        <f>AND(OnDemandVsReservedOverview!D1,"AAAAAGeVz7E=")</f>
        <v>#VALUE!</v>
      </c>
      <c r="FW21" t="e">
        <f>AND(OnDemandVsReservedOverview!E1,"AAAAAGeVz7I=")</f>
        <v>#VALUE!</v>
      </c>
      <c r="FX21" t="e">
        <f>AND(OnDemandVsReservedOverview!F1,"AAAAAGeVz7M=")</f>
        <v>#VALUE!</v>
      </c>
      <c r="FY21" t="e">
        <f>AND(OnDemandVsReservedOverview!G1,"AAAAAGeVz7Q=")</f>
        <v>#VALUE!</v>
      </c>
      <c r="FZ21">
        <f>IF(OnDemandVsReservedOverview!2:2,"AAAAAGeVz7U=",0)</f>
        <v>0</v>
      </c>
      <c r="GA21" t="e">
        <f>AND(OnDemandVsReservedOverview!A2,"AAAAAGeVz7Y=")</f>
        <v>#VALUE!</v>
      </c>
      <c r="GB21" t="e">
        <f>AND(OnDemandVsReservedOverview!B2,"AAAAAGeVz7c=")</f>
        <v>#VALUE!</v>
      </c>
      <c r="GC21" t="e">
        <f>AND(OnDemandVsReservedOverview!C2,"AAAAAGeVz7g=")</f>
        <v>#VALUE!</v>
      </c>
      <c r="GD21" t="e">
        <f>AND(OnDemandVsReservedOverview!D2,"AAAAAGeVz7k=")</f>
        <v>#VALUE!</v>
      </c>
      <c r="GE21" t="e">
        <f>AND(OnDemandVsReservedOverview!E2,"AAAAAGeVz7o=")</f>
        <v>#VALUE!</v>
      </c>
      <c r="GF21" t="e">
        <f>AND(OnDemandVsReservedOverview!F2,"AAAAAGeVz7s=")</f>
        <v>#VALUE!</v>
      </c>
      <c r="GG21" t="e">
        <f>AND(OnDemandVsReservedOverview!G2,"AAAAAGeVz7w=")</f>
        <v>#VALUE!</v>
      </c>
      <c r="GH21">
        <f>IF(OnDemandVsReservedOverview!3:3,"AAAAAGeVz70=",0)</f>
        <v>0</v>
      </c>
      <c r="GI21" t="e">
        <f>AND(OnDemandVsReservedOverview!A3,"AAAAAGeVz74=")</f>
        <v>#VALUE!</v>
      </c>
      <c r="GJ21" t="e">
        <f>AND(OnDemandVsReservedOverview!B3,"AAAAAGeVz78=")</f>
        <v>#VALUE!</v>
      </c>
      <c r="GK21" t="e">
        <f>AND(OnDemandVsReservedOverview!C3,"AAAAAGeVz8A=")</f>
        <v>#VALUE!</v>
      </c>
      <c r="GL21" t="e">
        <f>AND(OnDemandVsReservedOverview!D3,"AAAAAGeVz8E=")</f>
        <v>#VALUE!</v>
      </c>
      <c r="GM21" t="e">
        <f>AND(OnDemandVsReservedOverview!E3,"AAAAAGeVz8I=")</f>
        <v>#VALUE!</v>
      </c>
      <c r="GN21" t="e">
        <f>AND(OnDemandVsReservedOverview!F3,"AAAAAGeVz8M=")</f>
        <v>#VALUE!</v>
      </c>
      <c r="GO21" t="e">
        <f>AND(OnDemandVsReservedOverview!G3,"AAAAAGeVz8Q=")</f>
        <v>#VALUE!</v>
      </c>
      <c r="GP21">
        <f>IF(OnDemandVsReservedOverview!4:4,"AAAAAGeVz8U=",0)</f>
        <v>0</v>
      </c>
      <c r="GQ21" t="e">
        <f>AND(OnDemandVsReservedOverview!A4,"AAAAAGeVz8Y=")</f>
        <v>#VALUE!</v>
      </c>
      <c r="GR21" t="e">
        <f>AND(OnDemandVsReservedOverview!B4,"AAAAAGeVz8c=")</f>
        <v>#VALUE!</v>
      </c>
      <c r="GS21" t="e">
        <f>AND(OnDemandVsReservedOverview!C4,"AAAAAGeVz8g=")</f>
        <v>#VALUE!</v>
      </c>
      <c r="GT21" t="e">
        <f>AND(OnDemandVsReservedOverview!D4,"AAAAAGeVz8k=")</f>
        <v>#VALUE!</v>
      </c>
      <c r="GU21" t="e">
        <f>AND(OnDemandVsReservedOverview!E4,"AAAAAGeVz8o=")</f>
        <v>#VALUE!</v>
      </c>
      <c r="GV21" t="e">
        <f>AND(OnDemandVsReservedOverview!F4,"AAAAAGeVz8s=")</f>
        <v>#VALUE!</v>
      </c>
      <c r="GW21" t="e">
        <f>AND(OnDemandVsReservedOverview!G4,"AAAAAGeVz8w=")</f>
        <v>#VALUE!</v>
      </c>
      <c r="GX21">
        <f>IF(OnDemandVsReservedOverview!5:5,"AAAAAGeVz80=",0)</f>
        <v>0</v>
      </c>
      <c r="GY21" t="e">
        <f>AND(OnDemandVsReservedOverview!A5,"AAAAAGeVz84=")</f>
        <v>#VALUE!</v>
      </c>
      <c r="GZ21" t="e">
        <f>AND(OnDemandVsReservedOverview!B5,"AAAAAGeVz88=")</f>
        <v>#VALUE!</v>
      </c>
      <c r="HA21" t="e">
        <f>AND(OnDemandVsReservedOverview!C5,"AAAAAGeVz9A=")</f>
        <v>#VALUE!</v>
      </c>
      <c r="HB21" t="e">
        <f>AND(OnDemandVsReservedOverview!D5,"AAAAAGeVz9E=")</f>
        <v>#VALUE!</v>
      </c>
      <c r="HC21" t="e">
        <f>AND(OnDemandVsReservedOverview!E5,"AAAAAGeVz9I=")</f>
        <v>#VALUE!</v>
      </c>
      <c r="HD21" t="e">
        <f>AND(OnDemandVsReservedOverview!F5,"AAAAAGeVz9M=")</f>
        <v>#VALUE!</v>
      </c>
      <c r="HE21" t="e">
        <f>AND(OnDemandVsReservedOverview!G5,"AAAAAGeVz9Q=")</f>
        <v>#VALUE!</v>
      </c>
      <c r="HF21">
        <f>IF(OnDemandVsReservedOverview!6:6,"AAAAAGeVz9U=",0)</f>
        <v>0</v>
      </c>
      <c r="HG21" t="e">
        <f>AND(OnDemandVsReservedOverview!A6,"AAAAAGeVz9Y=")</f>
        <v>#VALUE!</v>
      </c>
      <c r="HH21" t="e">
        <f>AND(OnDemandVsReservedOverview!B6,"AAAAAGeVz9c=")</f>
        <v>#VALUE!</v>
      </c>
      <c r="HI21" t="e">
        <f>AND(OnDemandVsReservedOverview!C6,"AAAAAGeVz9g=")</f>
        <v>#VALUE!</v>
      </c>
      <c r="HJ21" t="e">
        <f>AND(OnDemandVsReservedOverview!D6,"AAAAAGeVz9k=")</f>
        <v>#VALUE!</v>
      </c>
      <c r="HK21" t="e">
        <f>AND(OnDemandVsReservedOverview!E6,"AAAAAGeVz9o=")</f>
        <v>#VALUE!</v>
      </c>
      <c r="HL21" t="e">
        <f>AND(OnDemandVsReservedOverview!F6,"AAAAAGeVz9s=")</f>
        <v>#VALUE!</v>
      </c>
      <c r="HM21" t="e">
        <f>AND(OnDemandVsReservedOverview!G6,"AAAAAGeVz9w=")</f>
        <v>#VALUE!</v>
      </c>
      <c r="HN21">
        <f>IF(OnDemandVsReservedOverview!7:7,"AAAAAGeVz90=",0)</f>
        <v>0</v>
      </c>
      <c r="HO21" t="e">
        <f>AND(OnDemandVsReservedOverview!A7,"AAAAAGeVz94=")</f>
        <v>#VALUE!</v>
      </c>
      <c r="HP21" t="e">
        <f>AND(OnDemandVsReservedOverview!B7,"AAAAAGeVz98=")</f>
        <v>#VALUE!</v>
      </c>
      <c r="HQ21" t="e">
        <f>AND(OnDemandVsReservedOverview!C7,"AAAAAGeVz+A=")</f>
        <v>#VALUE!</v>
      </c>
      <c r="HR21" t="e">
        <f>AND(OnDemandVsReservedOverview!D7,"AAAAAGeVz+E=")</f>
        <v>#VALUE!</v>
      </c>
      <c r="HS21" t="e">
        <f>AND(OnDemandVsReservedOverview!E7,"AAAAAGeVz+I=")</f>
        <v>#VALUE!</v>
      </c>
      <c r="HT21" t="e">
        <f>AND(OnDemandVsReservedOverview!F7,"AAAAAGeVz+M=")</f>
        <v>#VALUE!</v>
      </c>
      <c r="HU21" t="e">
        <f>AND(OnDemandVsReservedOverview!G7,"AAAAAGeVz+Q=")</f>
        <v>#VALUE!</v>
      </c>
      <c r="HV21">
        <f>IF(OnDemandVsReservedOverview!8:8,"AAAAAGeVz+U=",0)</f>
        <v>0</v>
      </c>
      <c r="HW21" t="e">
        <f>AND(OnDemandVsReservedOverview!A8,"AAAAAGeVz+Y=")</f>
        <v>#VALUE!</v>
      </c>
      <c r="HX21" t="e">
        <f>AND(OnDemandVsReservedOverview!B8,"AAAAAGeVz+c=")</f>
        <v>#VALUE!</v>
      </c>
      <c r="HY21" t="e">
        <f>AND(OnDemandVsReservedOverview!C8,"AAAAAGeVz+g=")</f>
        <v>#VALUE!</v>
      </c>
      <c r="HZ21" t="e">
        <f>AND(OnDemandVsReservedOverview!D8,"AAAAAGeVz+k=")</f>
        <v>#VALUE!</v>
      </c>
      <c r="IA21" t="e">
        <f>AND(OnDemandVsReservedOverview!E8,"AAAAAGeVz+o=")</f>
        <v>#VALUE!</v>
      </c>
      <c r="IB21" t="e">
        <f>AND(OnDemandVsReservedOverview!F8,"AAAAAGeVz+s=")</f>
        <v>#VALUE!</v>
      </c>
      <c r="IC21" t="e">
        <f>AND(OnDemandVsReservedOverview!G8,"AAAAAGeVz+w=")</f>
        <v>#VALUE!</v>
      </c>
      <c r="ID21">
        <f>IF(OnDemandVsReservedOverview!9:9,"AAAAAGeVz+0=",0)</f>
        <v>0</v>
      </c>
      <c r="IE21" t="e">
        <f>AND(OnDemandVsReservedOverview!A9,"AAAAAGeVz+4=")</f>
        <v>#VALUE!</v>
      </c>
      <c r="IF21" t="e">
        <f>AND(OnDemandVsReservedOverview!B9,"AAAAAGeVz+8=")</f>
        <v>#VALUE!</v>
      </c>
      <c r="IG21" t="e">
        <f>AND(OnDemandVsReservedOverview!C9,"AAAAAGeVz/A=")</f>
        <v>#VALUE!</v>
      </c>
      <c r="IH21" t="e">
        <f>AND(OnDemandVsReservedOverview!D9,"AAAAAGeVz/E=")</f>
        <v>#VALUE!</v>
      </c>
      <c r="II21" t="e">
        <f>AND(OnDemandVsReservedOverview!E9,"AAAAAGeVz/I=")</f>
        <v>#VALUE!</v>
      </c>
      <c r="IJ21" t="e">
        <f>AND(OnDemandVsReservedOverview!F9,"AAAAAGeVz/M=")</f>
        <v>#VALUE!</v>
      </c>
      <c r="IK21" t="e">
        <f>AND(OnDemandVsReservedOverview!G9,"AAAAAGeVz/Q=")</f>
        <v>#VALUE!</v>
      </c>
      <c r="IL21">
        <f>IF(OnDemandVsReservedOverview!10:10,"AAAAAGeVz/U=",0)</f>
        <v>0</v>
      </c>
      <c r="IM21" t="e">
        <f>AND(OnDemandVsReservedOverview!A10,"AAAAAGeVz/Y=")</f>
        <v>#VALUE!</v>
      </c>
      <c r="IN21" t="e">
        <f>AND(OnDemandVsReservedOverview!B10,"AAAAAGeVz/c=")</f>
        <v>#VALUE!</v>
      </c>
      <c r="IO21" t="e">
        <f>AND(OnDemandVsReservedOverview!C10,"AAAAAGeVz/g=")</f>
        <v>#VALUE!</v>
      </c>
      <c r="IP21" t="e">
        <f>AND(OnDemandVsReservedOverview!D10,"AAAAAGeVz/k=")</f>
        <v>#VALUE!</v>
      </c>
      <c r="IQ21" t="e">
        <f>AND(OnDemandVsReservedOverview!E10,"AAAAAGeVz/o=")</f>
        <v>#VALUE!</v>
      </c>
      <c r="IR21" t="e">
        <f>AND(OnDemandVsReservedOverview!F10,"AAAAAGeVz/s=")</f>
        <v>#VALUE!</v>
      </c>
      <c r="IS21" t="e">
        <f>AND(OnDemandVsReservedOverview!G10,"AAAAAGeVz/w=")</f>
        <v>#VALUE!</v>
      </c>
      <c r="IT21">
        <f>IF(OnDemandVsReservedOverview!11:11,"AAAAAGeVz/0=",0)</f>
        <v>0</v>
      </c>
      <c r="IU21" t="e">
        <f>AND(OnDemandVsReservedOverview!A11,"AAAAAGeVz/4=")</f>
        <v>#VALUE!</v>
      </c>
      <c r="IV21" t="e">
        <f>AND(OnDemandVsReservedOverview!B11,"AAAAAGeVz/8=")</f>
        <v>#VALUE!</v>
      </c>
    </row>
    <row r="22" spans="1:256" x14ac:dyDescent="0.25">
      <c r="A22" t="e">
        <f>AND(OnDemandVsReservedOverview!C11,"AAAAAHvfjwA=")</f>
        <v>#VALUE!</v>
      </c>
      <c r="B22" t="e">
        <f>AND(OnDemandVsReservedOverview!D11,"AAAAAHvfjwE=")</f>
        <v>#VALUE!</v>
      </c>
      <c r="C22" t="e">
        <f>AND(OnDemandVsReservedOverview!E11,"AAAAAHvfjwI=")</f>
        <v>#VALUE!</v>
      </c>
      <c r="D22" t="e">
        <f>AND(OnDemandVsReservedOverview!F11,"AAAAAHvfjwM=")</f>
        <v>#VALUE!</v>
      </c>
      <c r="E22" t="e">
        <f>AND(OnDemandVsReservedOverview!G11,"AAAAAHvfjwQ=")</f>
        <v>#VALUE!</v>
      </c>
      <c r="F22" t="str">
        <f>IF(OnDemandVsReservedOverview!12:12,"AAAAAHvfjwU=",0)</f>
        <v>AAAAAHvfjwU=</v>
      </c>
      <c r="G22" t="e">
        <f>AND(OnDemandVsReservedOverview!A12,"AAAAAHvfjwY=")</f>
        <v>#VALUE!</v>
      </c>
      <c r="H22" t="e">
        <f>AND(OnDemandVsReservedOverview!B12,"AAAAAHvfjwc=")</f>
        <v>#VALUE!</v>
      </c>
      <c r="I22" t="e">
        <f>AND(OnDemandVsReservedOverview!C12,"AAAAAHvfjwg=")</f>
        <v>#VALUE!</v>
      </c>
      <c r="J22" t="e">
        <f>AND(OnDemandVsReservedOverview!D12,"AAAAAHvfjwk=")</f>
        <v>#VALUE!</v>
      </c>
      <c r="K22" t="e">
        <f>AND(OnDemandVsReservedOverview!E12,"AAAAAHvfjwo=")</f>
        <v>#VALUE!</v>
      </c>
      <c r="L22" t="e">
        <f>AND(OnDemandVsReservedOverview!F12,"AAAAAHvfjws=")</f>
        <v>#VALUE!</v>
      </c>
      <c r="M22" t="e">
        <f>AND(OnDemandVsReservedOverview!G12,"AAAAAHvfjww=")</f>
        <v>#VALUE!</v>
      </c>
      <c r="N22">
        <f>IF(OnDemandVsReservedOverview!13:13,"AAAAAHvfjw0=",0)</f>
        <v>0</v>
      </c>
      <c r="O22" t="e">
        <f>AND(OnDemandVsReservedOverview!A13,"AAAAAHvfjw4=")</f>
        <v>#VALUE!</v>
      </c>
      <c r="P22" t="e">
        <f>AND(OnDemandVsReservedOverview!B13,"AAAAAHvfjw8=")</f>
        <v>#VALUE!</v>
      </c>
      <c r="Q22" t="e">
        <f>AND(OnDemandVsReservedOverview!C13,"AAAAAHvfjxA=")</f>
        <v>#VALUE!</v>
      </c>
      <c r="R22" t="e">
        <f>AND(OnDemandVsReservedOverview!D13,"AAAAAHvfjxE=")</f>
        <v>#VALUE!</v>
      </c>
      <c r="S22" t="e">
        <f>AND(OnDemandVsReservedOverview!E13,"AAAAAHvfjxI=")</f>
        <v>#VALUE!</v>
      </c>
      <c r="T22" t="e">
        <f>AND(OnDemandVsReservedOverview!F13,"AAAAAHvfjxM=")</f>
        <v>#VALUE!</v>
      </c>
      <c r="U22" t="e">
        <f>AND(OnDemandVsReservedOverview!G13,"AAAAAHvfjxQ=")</f>
        <v>#VALUE!</v>
      </c>
      <c r="V22">
        <f>IF(OnDemandVsReservedOverview!14:14,"AAAAAHvfjxU=",0)</f>
        <v>0</v>
      </c>
      <c r="W22" t="e">
        <f>AND(OnDemandVsReservedOverview!A14,"AAAAAHvfjxY=")</f>
        <v>#VALUE!</v>
      </c>
      <c r="X22" t="e">
        <f>AND(OnDemandVsReservedOverview!B14,"AAAAAHvfjxc=")</f>
        <v>#VALUE!</v>
      </c>
      <c r="Y22" t="e">
        <f>AND(OnDemandVsReservedOverview!C14,"AAAAAHvfjxg=")</f>
        <v>#VALUE!</v>
      </c>
      <c r="Z22" t="e">
        <f>AND(OnDemandVsReservedOverview!D14,"AAAAAHvfjxk=")</f>
        <v>#VALUE!</v>
      </c>
      <c r="AA22" t="e">
        <f>AND(OnDemandVsReservedOverview!E14,"AAAAAHvfjxo=")</f>
        <v>#VALUE!</v>
      </c>
      <c r="AB22" t="e">
        <f>AND(OnDemandVsReservedOverview!F14,"AAAAAHvfjxs=")</f>
        <v>#VALUE!</v>
      </c>
      <c r="AC22" t="e">
        <f>AND(OnDemandVsReservedOverview!G14,"AAAAAHvfjxw=")</f>
        <v>#VALUE!</v>
      </c>
      <c r="AD22">
        <f>IF(OnDemandVsReservedOverview!15:15,"AAAAAHvfjx0=",0)</f>
        <v>0</v>
      </c>
      <c r="AE22" t="e">
        <f>AND(OnDemandVsReservedOverview!A15,"AAAAAHvfjx4=")</f>
        <v>#VALUE!</v>
      </c>
      <c r="AF22" t="e">
        <f>AND(OnDemandVsReservedOverview!B15,"AAAAAHvfjx8=")</f>
        <v>#VALUE!</v>
      </c>
      <c r="AG22" t="e">
        <f>AND(OnDemandVsReservedOverview!C15,"AAAAAHvfjyA=")</f>
        <v>#VALUE!</v>
      </c>
      <c r="AH22" t="e">
        <f>AND(OnDemandVsReservedOverview!D15,"AAAAAHvfjyE=")</f>
        <v>#VALUE!</v>
      </c>
      <c r="AI22" t="e">
        <f>AND(OnDemandVsReservedOverview!E15,"AAAAAHvfjyI=")</f>
        <v>#VALUE!</v>
      </c>
      <c r="AJ22" t="e">
        <f>AND(OnDemandVsReservedOverview!F15,"AAAAAHvfjyM=")</f>
        <v>#VALUE!</v>
      </c>
      <c r="AK22" t="e">
        <f>AND(OnDemandVsReservedOverview!G15,"AAAAAHvfjyQ=")</f>
        <v>#VALUE!</v>
      </c>
      <c r="AL22">
        <f>IF(OnDemandVsReservedOverview!16:16,"AAAAAHvfjyU=",0)</f>
        <v>0</v>
      </c>
      <c r="AM22" t="e">
        <f>AND(OnDemandVsReservedOverview!A16,"AAAAAHvfjyY=")</f>
        <v>#VALUE!</v>
      </c>
      <c r="AN22" t="e">
        <f>AND(OnDemandVsReservedOverview!B16,"AAAAAHvfjyc=")</f>
        <v>#VALUE!</v>
      </c>
      <c r="AO22" t="e">
        <f>AND(OnDemandVsReservedOverview!C16,"AAAAAHvfjyg=")</f>
        <v>#VALUE!</v>
      </c>
      <c r="AP22" t="e">
        <f>AND(OnDemandVsReservedOverview!D16,"AAAAAHvfjyk=")</f>
        <v>#VALUE!</v>
      </c>
      <c r="AQ22" t="e">
        <f>AND(OnDemandVsReservedOverview!E16,"AAAAAHvfjyo=")</f>
        <v>#VALUE!</v>
      </c>
      <c r="AR22" t="e">
        <f>AND(OnDemandVsReservedOverview!F16,"AAAAAHvfjys=")</f>
        <v>#VALUE!</v>
      </c>
      <c r="AS22" t="e">
        <f>AND(OnDemandVsReservedOverview!G16,"AAAAAHvfjyw=")</f>
        <v>#VALUE!</v>
      </c>
      <c r="AT22">
        <f>IF(OnDemandVsReservedOverview!17:17,"AAAAAHvfjy0=",0)</f>
        <v>0</v>
      </c>
      <c r="AU22" t="e">
        <f>AND(OnDemandVsReservedOverview!A17,"AAAAAHvfjy4=")</f>
        <v>#VALUE!</v>
      </c>
      <c r="AV22" t="e">
        <f>AND(OnDemandVsReservedOverview!B17,"AAAAAHvfjy8=")</f>
        <v>#VALUE!</v>
      </c>
      <c r="AW22" t="e">
        <f>AND(OnDemandVsReservedOverview!C17,"AAAAAHvfjzA=")</f>
        <v>#VALUE!</v>
      </c>
      <c r="AX22" t="e">
        <f>AND(OnDemandVsReservedOverview!D17,"AAAAAHvfjzE=")</f>
        <v>#VALUE!</v>
      </c>
      <c r="AY22" t="e">
        <f>AND(OnDemandVsReservedOverview!E17,"AAAAAHvfjzI=")</f>
        <v>#VALUE!</v>
      </c>
      <c r="AZ22" t="e">
        <f>AND(OnDemandVsReservedOverview!F17,"AAAAAHvfjzM=")</f>
        <v>#VALUE!</v>
      </c>
      <c r="BA22" t="e">
        <f>AND(OnDemandVsReservedOverview!G17,"AAAAAHvfjzQ=")</f>
        <v>#VALUE!</v>
      </c>
      <c r="BB22">
        <f>IF(OnDemandVsReservedOverview!18:18,"AAAAAHvfjzU=",0)</f>
        <v>0</v>
      </c>
      <c r="BC22" t="e">
        <f>AND(OnDemandVsReservedOverview!A18,"AAAAAHvfjzY=")</f>
        <v>#VALUE!</v>
      </c>
      <c r="BD22" t="e">
        <f>AND(OnDemandVsReservedOverview!B18,"AAAAAHvfjzc=")</f>
        <v>#VALUE!</v>
      </c>
      <c r="BE22" t="e">
        <f>AND(OnDemandVsReservedOverview!C18,"AAAAAHvfjzg=")</f>
        <v>#VALUE!</v>
      </c>
      <c r="BF22" t="e">
        <f>AND(OnDemandVsReservedOverview!D18,"AAAAAHvfjzk=")</f>
        <v>#VALUE!</v>
      </c>
      <c r="BG22" t="e">
        <f>AND(OnDemandVsReservedOverview!E18,"AAAAAHvfjzo=")</f>
        <v>#VALUE!</v>
      </c>
      <c r="BH22" t="e">
        <f>AND(OnDemandVsReservedOverview!F18,"AAAAAHvfjzs=")</f>
        <v>#VALUE!</v>
      </c>
      <c r="BI22" t="e">
        <f>AND(OnDemandVsReservedOverview!G18,"AAAAAHvfjzw=")</f>
        <v>#VALUE!</v>
      </c>
      <c r="BJ22">
        <f>IF(OnDemandVsReservedOverview!19:19,"AAAAAHvfjz0=",0)</f>
        <v>0</v>
      </c>
      <c r="BK22" t="e">
        <f>AND(OnDemandVsReservedOverview!A19,"AAAAAHvfjz4=")</f>
        <v>#VALUE!</v>
      </c>
      <c r="BL22" t="e">
        <f>AND(OnDemandVsReservedOverview!B19,"AAAAAHvfjz8=")</f>
        <v>#VALUE!</v>
      </c>
      <c r="BM22" t="e">
        <f>AND(OnDemandVsReservedOverview!C19,"AAAAAHvfj0A=")</f>
        <v>#VALUE!</v>
      </c>
      <c r="BN22" t="e">
        <f>AND(OnDemandVsReservedOverview!D19,"AAAAAHvfj0E=")</f>
        <v>#VALUE!</v>
      </c>
      <c r="BO22" t="e">
        <f>AND(OnDemandVsReservedOverview!E19,"AAAAAHvfj0I=")</f>
        <v>#VALUE!</v>
      </c>
      <c r="BP22" t="e">
        <f>AND(OnDemandVsReservedOverview!F19,"AAAAAHvfj0M=")</f>
        <v>#VALUE!</v>
      </c>
      <c r="BQ22" t="e">
        <f>AND(OnDemandVsReservedOverview!G19,"AAAAAHvfj0Q=")</f>
        <v>#VALUE!</v>
      </c>
      <c r="BR22">
        <f>IF(OnDemandVsReservedOverview!20:20,"AAAAAHvfj0U=",0)</f>
        <v>0</v>
      </c>
      <c r="BS22" t="e">
        <f>AND(OnDemandVsReservedOverview!A20,"AAAAAHvfj0Y=")</f>
        <v>#VALUE!</v>
      </c>
      <c r="BT22" t="e">
        <f>AND(OnDemandVsReservedOverview!B20,"AAAAAHvfj0c=")</f>
        <v>#VALUE!</v>
      </c>
      <c r="BU22" t="e">
        <f>AND(OnDemandVsReservedOverview!C20,"AAAAAHvfj0g=")</f>
        <v>#VALUE!</v>
      </c>
      <c r="BV22" t="e">
        <f>AND(OnDemandVsReservedOverview!D20,"AAAAAHvfj0k=")</f>
        <v>#VALUE!</v>
      </c>
      <c r="BW22" t="e">
        <f>AND(OnDemandVsReservedOverview!E20,"AAAAAHvfj0o=")</f>
        <v>#VALUE!</v>
      </c>
      <c r="BX22" t="e">
        <f>AND(OnDemandVsReservedOverview!F20,"AAAAAHvfj0s=")</f>
        <v>#VALUE!</v>
      </c>
      <c r="BY22" t="e">
        <f>AND(OnDemandVsReservedOverview!G20,"AAAAAHvfj0w=")</f>
        <v>#VALUE!</v>
      </c>
      <c r="BZ22">
        <f>IF(OnDemandVsReservedOverview!21:21,"AAAAAHvfj00=",0)</f>
        <v>0</v>
      </c>
      <c r="CA22" t="e">
        <f>AND(OnDemandVsReservedOverview!A21,"AAAAAHvfj04=")</f>
        <v>#VALUE!</v>
      </c>
      <c r="CB22" t="e">
        <f>AND(OnDemandVsReservedOverview!B21,"AAAAAHvfj08=")</f>
        <v>#VALUE!</v>
      </c>
      <c r="CC22" t="e">
        <f>AND(OnDemandVsReservedOverview!C21,"AAAAAHvfj1A=")</f>
        <v>#VALUE!</v>
      </c>
      <c r="CD22" t="e">
        <f>AND(OnDemandVsReservedOverview!D21,"AAAAAHvfj1E=")</f>
        <v>#VALUE!</v>
      </c>
      <c r="CE22" t="e">
        <f>AND(OnDemandVsReservedOverview!E21,"AAAAAHvfj1I=")</f>
        <v>#VALUE!</v>
      </c>
      <c r="CF22" t="e">
        <f>AND(OnDemandVsReservedOverview!F21,"AAAAAHvfj1M=")</f>
        <v>#VALUE!</v>
      </c>
      <c r="CG22" t="e">
        <f>AND(OnDemandVsReservedOverview!G21,"AAAAAHvfj1Q=")</f>
        <v>#VALUE!</v>
      </c>
      <c r="CH22">
        <f>IF(OnDemandVsReservedOverview!22:22,"AAAAAHvfj1U=",0)</f>
        <v>0</v>
      </c>
      <c r="CI22" t="e">
        <f>AND(OnDemandVsReservedOverview!A22,"AAAAAHvfj1Y=")</f>
        <v>#VALUE!</v>
      </c>
      <c r="CJ22" t="e">
        <f>AND(OnDemandVsReservedOverview!B22,"AAAAAHvfj1c=")</f>
        <v>#VALUE!</v>
      </c>
      <c r="CK22" t="e">
        <f>AND(OnDemandVsReservedOverview!C22,"AAAAAHvfj1g=")</f>
        <v>#VALUE!</v>
      </c>
      <c r="CL22" t="e">
        <f>AND(OnDemandVsReservedOverview!D22,"AAAAAHvfj1k=")</f>
        <v>#VALUE!</v>
      </c>
      <c r="CM22" t="e">
        <f>AND(OnDemandVsReservedOverview!E22,"AAAAAHvfj1o=")</f>
        <v>#VALUE!</v>
      </c>
      <c r="CN22" t="e">
        <f>AND(OnDemandVsReservedOverview!F22,"AAAAAHvfj1s=")</f>
        <v>#VALUE!</v>
      </c>
      <c r="CO22" t="e">
        <f>AND(OnDemandVsReservedOverview!G22,"AAAAAHvfj1w=")</f>
        <v>#VALUE!</v>
      </c>
      <c r="CP22">
        <f>IF(OnDemandVsReservedOverview!23:23,"AAAAAHvfj10=",0)</f>
        <v>0</v>
      </c>
      <c r="CQ22" t="e">
        <f>AND(OnDemandVsReservedOverview!A23,"AAAAAHvfj14=")</f>
        <v>#VALUE!</v>
      </c>
      <c r="CR22" t="e">
        <f>AND(OnDemandVsReservedOverview!B23,"AAAAAHvfj18=")</f>
        <v>#VALUE!</v>
      </c>
      <c r="CS22" t="e">
        <f>AND(OnDemandVsReservedOverview!C23,"AAAAAHvfj2A=")</f>
        <v>#VALUE!</v>
      </c>
      <c r="CT22" t="e">
        <f>AND(OnDemandVsReservedOverview!D23,"AAAAAHvfj2E=")</f>
        <v>#VALUE!</v>
      </c>
      <c r="CU22" t="e">
        <f>AND(OnDemandVsReservedOverview!E23,"AAAAAHvfj2I=")</f>
        <v>#VALUE!</v>
      </c>
      <c r="CV22" t="e">
        <f>AND(OnDemandVsReservedOverview!F23,"AAAAAHvfj2M=")</f>
        <v>#VALUE!</v>
      </c>
      <c r="CW22" t="e">
        <f>AND(OnDemandVsReservedOverview!G23,"AAAAAHvfj2Q=")</f>
        <v>#VALUE!</v>
      </c>
      <c r="CX22">
        <f>IF(OnDemandVsReservedOverview!24:24,"AAAAAHvfj2U=",0)</f>
        <v>0</v>
      </c>
      <c r="CY22" t="e">
        <f>AND(OnDemandVsReservedOverview!A24,"AAAAAHvfj2Y=")</f>
        <v>#VALUE!</v>
      </c>
      <c r="CZ22" t="e">
        <f>AND(OnDemandVsReservedOverview!B24,"AAAAAHvfj2c=")</f>
        <v>#VALUE!</v>
      </c>
      <c r="DA22" t="e">
        <f>AND(OnDemandVsReservedOverview!C24,"AAAAAHvfj2g=")</f>
        <v>#VALUE!</v>
      </c>
      <c r="DB22" t="e">
        <f>AND(OnDemandVsReservedOverview!D24,"AAAAAHvfj2k=")</f>
        <v>#VALUE!</v>
      </c>
      <c r="DC22" t="e">
        <f>AND(OnDemandVsReservedOverview!E24,"AAAAAHvfj2o=")</f>
        <v>#VALUE!</v>
      </c>
      <c r="DD22" t="e">
        <f>AND(OnDemandVsReservedOverview!F24,"AAAAAHvfj2s=")</f>
        <v>#VALUE!</v>
      </c>
      <c r="DE22" t="e">
        <f>AND(OnDemandVsReservedOverview!G24,"AAAAAHvfj2w=")</f>
        <v>#VALUE!</v>
      </c>
      <c r="DF22">
        <f>IF(OnDemandVsReservedOverview!25:25,"AAAAAHvfj20=",0)</f>
        <v>0</v>
      </c>
      <c r="DG22" t="e">
        <f>AND(OnDemandVsReservedOverview!A25,"AAAAAHvfj24=")</f>
        <v>#VALUE!</v>
      </c>
      <c r="DH22" t="e">
        <f>AND(OnDemandVsReservedOverview!B25,"AAAAAHvfj28=")</f>
        <v>#VALUE!</v>
      </c>
      <c r="DI22" t="e">
        <f>AND(OnDemandVsReservedOverview!C25,"AAAAAHvfj3A=")</f>
        <v>#VALUE!</v>
      </c>
      <c r="DJ22" t="e">
        <f>AND(OnDemandVsReservedOverview!D25,"AAAAAHvfj3E=")</f>
        <v>#VALUE!</v>
      </c>
      <c r="DK22" t="e">
        <f>AND(OnDemandVsReservedOverview!E25,"AAAAAHvfj3I=")</f>
        <v>#VALUE!</v>
      </c>
      <c r="DL22" t="e">
        <f>AND(OnDemandVsReservedOverview!F25,"AAAAAHvfj3M=")</f>
        <v>#VALUE!</v>
      </c>
      <c r="DM22" t="e">
        <f>AND(OnDemandVsReservedOverview!G25,"AAAAAHvfj3Q=")</f>
        <v>#VALUE!</v>
      </c>
      <c r="DN22">
        <f>IF(OnDemandVsReservedOverview!26:26,"AAAAAHvfj3U=",0)</f>
        <v>0</v>
      </c>
      <c r="DO22" t="e">
        <f>AND(OnDemandVsReservedOverview!A26,"AAAAAHvfj3Y=")</f>
        <v>#VALUE!</v>
      </c>
      <c r="DP22" t="e">
        <f>AND(OnDemandVsReservedOverview!B26,"AAAAAHvfj3c=")</f>
        <v>#VALUE!</v>
      </c>
      <c r="DQ22" t="e">
        <f>AND(OnDemandVsReservedOverview!C26,"AAAAAHvfj3g=")</f>
        <v>#VALUE!</v>
      </c>
      <c r="DR22" t="e">
        <f>AND(OnDemandVsReservedOverview!D26,"AAAAAHvfj3k=")</f>
        <v>#VALUE!</v>
      </c>
      <c r="DS22" t="e">
        <f>AND(OnDemandVsReservedOverview!E26,"AAAAAHvfj3o=")</f>
        <v>#VALUE!</v>
      </c>
      <c r="DT22" t="e">
        <f>AND(OnDemandVsReservedOverview!F26,"AAAAAHvfj3s=")</f>
        <v>#VALUE!</v>
      </c>
      <c r="DU22" t="e">
        <f>AND(OnDemandVsReservedOverview!G26,"AAAAAHvfj3w=")</f>
        <v>#VALUE!</v>
      </c>
      <c r="DV22">
        <f>IF(OnDemandVsReservedOverview!27:27,"AAAAAHvfj30=",0)</f>
        <v>0</v>
      </c>
      <c r="DW22" t="e">
        <f>AND(OnDemandVsReservedOverview!A27,"AAAAAHvfj34=")</f>
        <v>#VALUE!</v>
      </c>
      <c r="DX22" t="e">
        <f>AND(OnDemandVsReservedOverview!B27,"AAAAAHvfj38=")</f>
        <v>#VALUE!</v>
      </c>
      <c r="DY22" t="e">
        <f>AND(OnDemandVsReservedOverview!C27,"AAAAAHvfj4A=")</f>
        <v>#VALUE!</v>
      </c>
      <c r="DZ22" t="e">
        <f>AND(OnDemandVsReservedOverview!D27,"AAAAAHvfj4E=")</f>
        <v>#VALUE!</v>
      </c>
      <c r="EA22" t="e">
        <f>AND(OnDemandVsReservedOverview!E27,"AAAAAHvfj4I=")</f>
        <v>#VALUE!</v>
      </c>
      <c r="EB22" t="e">
        <f>AND(OnDemandVsReservedOverview!F27,"AAAAAHvfj4M=")</f>
        <v>#VALUE!</v>
      </c>
      <c r="EC22" t="e">
        <f>AND(OnDemandVsReservedOverview!G27,"AAAAAHvfj4Q=")</f>
        <v>#VALUE!</v>
      </c>
      <c r="ED22">
        <f>IF(OnDemandVsReservedOverview!28:28,"AAAAAHvfj4U=",0)</f>
        <v>0</v>
      </c>
      <c r="EE22" t="e">
        <f>AND(OnDemandVsReservedOverview!A28,"AAAAAHvfj4Y=")</f>
        <v>#VALUE!</v>
      </c>
      <c r="EF22" t="e">
        <f>AND(OnDemandVsReservedOverview!B28,"AAAAAHvfj4c=")</f>
        <v>#VALUE!</v>
      </c>
      <c r="EG22" t="e">
        <f>AND(OnDemandVsReservedOverview!C28,"AAAAAHvfj4g=")</f>
        <v>#VALUE!</v>
      </c>
      <c r="EH22" t="e">
        <f>AND(OnDemandVsReservedOverview!D28,"AAAAAHvfj4k=")</f>
        <v>#VALUE!</v>
      </c>
      <c r="EI22" t="e">
        <f>AND(OnDemandVsReservedOverview!E28,"AAAAAHvfj4o=")</f>
        <v>#VALUE!</v>
      </c>
      <c r="EJ22" t="e">
        <f>AND(OnDemandVsReservedOverview!F28,"AAAAAHvfj4s=")</f>
        <v>#VALUE!</v>
      </c>
      <c r="EK22" t="e">
        <f>AND(OnDemandVsReservedOverview!G28,"AAAAAHvfj4w=")</f>
        <v>#VALUE!</v>
      </c>
      <c r="EL22">
        <f>IF(OnDemandVsReservedOverview!29:29,"AAAAAHvfj40=",0)</f>
        <v>0</v>
      </c>
      <c r="EM22" t="e">
        <f>AND(OnDemandVsReservedOverview!A29,"AAAAAHvfj44=")</f>
        <v>#VALUE!</v>
      </c>
      <c r="EN22" t="e">
        <f>AND(OnDemandVsReservedOverview!B29,"AAAAAHvfj48=")</f>
        <v>#VALUE!</v>
      </c>
      <c r="EO22" t="e">
        <f>AND(OnDemandVsReservedOverview!C29,"AAAAAHvfj5A=")</f>
        <v>#VALUE!</v>
      </c>
      <c r="EP22" t="e">
        <f>AND(OnDemandVsReservedOverview!D29,"AAAAAHvfj5E=")</f>
        <v>#VALUE!</v>
      </c>
      <c r="EQ22" t="e">
        <f>AND(OnDemandVsReservedOverview!E29,"AAAAAHvfj5I=")</f>
        <v>#VALUE!</v>
      </c>
      <c r="ER22" t="e">
        <f>AND(OnDemandVsReservedOverview!F29,"AAAAAHvfj5M=")</f>
        <v>#VALUE!</v>
      </c>
      <c r="ES22" t="e">
        <f>AND(OnDemandVsReservedOverview!G29,"AAAAAHvfj5Q=")</f>
        <v>#VALUE!</v>
      </c>
      <c r="ET22">
        <f>IF(OnDemandVsReservedOverview!30:30,"AAAAAHvfj5U=",0)</f>
        <v>0</v>
      </c>
      <c r="EU22" t="e">
        <f>AND(OnDemandVsReservedOverview!A30,"AAAAAHvfj5Y=")</f>
        <v>#VALUE!</v>
      </c>
      <c r="EV22" t="e">
        <f>AND(OnDemandVsReservedOverview!B30,"AAAAAHvfj5c=")</f>
        <v>#VALUE!</v>
      </c>
      <c r="EW22" t="e">
        <f>AND(OnDemandVsReservedOverview!C30,"AAAAAHvfj5g=")</f>
        <v>#VALUE!</v>
      </c>
      <c r="EX22" t="e">
        <f>AND(OnDemandVsReservedOverview!D30,"AAAAAHvfj5k=")</f>
        <v>#VALUE!</v>
      </c>
      <c r="EY22" t="e">
        <f>AND(OnDemandVsReservedOverview!E30,"AAAAAHvfj5o=")</f>
        <v>#VALUE!</v>
      </c>
      <c r="EZ22" t="e">
        <f>AND(OnDemandVsReservedOverview!F30,"AAAAAHvfj5s=")</f>
        <v>#VALUE!</v>
      </c>
      <c r="FA22" t="e">
        <f>AND(OnDemandVsReservedOverview!G30,"AAAAAHvfj5w=")</f>
        <v>#VALUE!</v>
      </c>
      <c r="FB22">
        <f>IF(OnDemandVsReservedOverview!31:31,"AAAAAHvfj50=",0)</f>
        <v>0</v>
      </c>
      <c r="FC22" t="e">
        <f>AND(OnDemandVsReservedOverview!A31,"AAAAAHvfj54=")</f>
        <v>#VALUE!</v>
      </c>
      <c r="FD22" t="e">
        <f>AND(OnDemandVsReservedOverview!B31,"AAAAAHvfj58=")</f>
        <v>#VALUE!</v>
      </c>
      <c r="FE22" t="e">
        <f>AND(OnDemandVsReservedOverview!C31,"AAAAAHvfj6A=")</f>
        <v>#VALUE!</v>
      </c>
      <c r="FF22" t="e">
        <f>AND(OnDemandVsReservedOverview!D31,"AAAAAHvfj6E=")</f>
        <v>#VALUE!</v>
      </c>
      <c r="FG22" t="e">
        <f>AND(OnDemandVsReservedOverview!E31,"AAAAAHvfj6I=")</f>
        <v>#VALUE!</v>
      </c>
      <c r="FH22" t="e">
        <f>AND(OnDemandVsReservedOverview!F31,"AAAAAHvfj6M=")</f>
        <v>#VALUE!</v>
      </c>
      <c r="FI22" t="e">
        <f>AND(OnDemandVsReservedOverview!G31,"AAAAAHvfj6Q=")</f>
        <v>#VALUE!</v>
      </c>
      <c r="FJ22">
        <f>IF(OnDemandVsReservedOverview!32:32,"AAAAAHvfj6U=",0)</f>
        <v>0</v>
      </c>
      <c r="FK22" t="e">
        <f>AND(OnDemandVsReservedOverview!A32,"AAAAAHvfj6Y=")</f>
        <v>#VALUE!</v>
      </c>
      <c r="FL22" t="e">
        <f>AND(OnDemandVsReservedOverview!B32,"AAAAAHvfj6c=")</f>
        <v>#VALUE!</v>
      </c>
      <c r="FM22" t="e">
        <f>AND(OnDemandVsReservedOverview!C32,"AAAAAHvfj6g=")</f>
        <v>#VALUE!</v>
      </c>
      <c r="FN22" t="e">
        <f>AND(OnDemandVsReservedOverview!D32,"AAAAAHvfj6k=")</f>
        <v>#VALUE!</v>
      </c>
      <c r="FO22" t="e">
        <f>AND(OnDemandVsReservedOverview!E32,"AAAAAHvfj6o=")</f>
        <v>#VALUE!</v>
      </c>
      <c r="FP22" t="e">
        <f>AND(OnDemandVsReservedOverview!F32,"AAAAAHvfj6s=")</f>
        <v>#VALUE!</v>
      </c>
      <c r="FQ22" t="e">
        <f>AND(OnDemandVsReservedOverview!G32,"AAAAAHvfj6w=")</f>
        <v>#VALUE!</v>
      </c>
      <c r="FR22">
        <f>IF(OnDemandVsReservedOverview!33:33,"AAAAAHvfj60=",0)</f>
        <v>0</v>
      </c>
      <c r="FS22" t="e">
        <f>AND(OnDemandVsReservedOverview!A33,"AAAAAHvfj64=")</f>
        <v>#VALUE!</v>
      </c>
      <c r="FT22" t="e">
        <f>AND(OnDemandVsReservedOverview!B33,"AAAAAHvfj68=")</f>
        <v>#VALUE!</v>
      </c>
      <c r="FU22" t="e">
        <f>AND(OnDemandVsReservedOverview!C33,"AAAAAHvfj7A=")</f>
        <v>#VALUE!</v>
      </c>
      <c r="FV22" t="e">
        <f>AND(OnDemandVsReservedOverview!D33,"AAAAAHvfj7E=")</f>
        <v>#VALUE!</v>
      </c>
      <c r="FW22" t="e">
        <f>AND(OnDemandVsReservedOverview!E33,"AAAAAHvfj7I=")</f>
        <v>#VALUE!</v>
      </c>
      <c r="FX22" t="e">
        <f>AND(OnDemandVsReservedOverview!F33,"AAAAAHvfj7M=")</f>
        <v>#VALUE!</v>
      </c>
      <c r="FY22" t="e">
        <f>AND(OnDemandVsReservedOverview!G33,"AAAAAHvfj7Q=")</f>
        <v>#VALUE!</v>
      </c>
      <c r="FZ22">
        <f>IF(OnDemandVsReservedOverview!34:34,"AAAAAHvfj7U=",0)</f>
        <v>0</v>
      </c>
      <c r="GA22" t="e">
        <f>AND(OnDemandVsReservedOverview!A34,"AAAAAHvfj7Y=")</f>
        <v>#VALUE!</v>
      </c>
      <c r="GB22" t="e">
        <f>AND(OnDemandVsReservedOverview!B34,"AAAAAHvfj7c=")</f>
        <v>#VALUE!</v>
      </c>
      <c r="GC22" t="e">
        <f>AND(OnDemandVsReservedOverview!C34,"AAAAAHvfj7g=")</f>
        <v>#VALUE!</v>
      </c>
      <c r="GD22" t="e">
        <f>AND(OnDemandVsReservedOverview!D34,"AAAAAHvfj7k=")</f>
        <v>#VALUE!</v>
      </c>
      <c r="GE22" t="e">
        <f>AND(OnDemandVsReservedOverview!E34,"AAAAAHvfj7o=")</f>
        <v>#VALUE!</v>
      </c>
      <c r="GF22" t="e">
        <f>AND(OnDemandVsReservedOverview!F34,"AAAAAHvfj7s=")</f>
        <v>#VALUE!</v>
      </c>
      <c r="GG22" t="e">
        <f>AND(OnDemandVsReservedOverview!G34,"AAAAAHvfj7w=")</f>
        <v>#VALUE!</v>
      </c>
      <c r="GH22">
        <f>IF(OnDemandVsReservedOverview!35:35,"AAAAAHvfj70=",0)</f>
        <v>0</v>
      </c>
      <c r="GI22" t="e">
        <f>AND(OnDemandVsReservedOverview!A35,"AAAAAHvfj74=")</f>
        <v>#VALUE!</v>
      </c>
      <c r="GJ22" t="e">
        <f>AND(OnDemandVsReservedOverview!B35,"AAAAAHvfj78=")</f>
        <v>#VALUE!</v>
      </c>
      <c r="GK22" t="e">
        <f>AND(OnDemandVsReservedOverview!C35,"AAAAAHvfj8A=")</f>
        <v>#VALUE!</v>
      </c>
      <c r="GL22" t="e">
        <f>AND(OnDemandVsReservedOverview!D35,"AAAAAHvfj8E=")</f>
        <v>#VALUE!</v>
      </c>
      <c r="GM22" t="e">
        <f>AND(OnDemandVsReservedOverview!E35,"AAAAAHvfj8I=")</f>
        <v>#VALUE!</v>
      </c>
      <c r="GN22" t="e">
        <f>AND(OnDemandVsReservedOverview!F35,"AAAAAHvfj8M=")</f>
        <v>#VALUE!</v>
      </c>
      <c r="GO22" t="e">
        <f>AND(OnDemandVsReservedOverview!G35,"AAAAAHvfj8Q=")</f>
        <v>#VALUE!</v>
      </c>
      <c r="GP22">
        <f>IF(OnDemandVsReservedOverview!36:36,"AAAAAHvfj8U=",0)</f>
        <v>0</v>
      </c>
      <c r="GQ22" t="e">
        <f>AND(OnDemandVsReservedOverview!A36,"AAAAAHvfj8Y=")</f>
        <v>#VALUE!</v>
      </c>
      <c r="GR22" t="e">
        <f>AND(OnDemandVsReservedOverview!B36,"AAAAAHvfj8c=")</f>
        <v>#VALUE!</v>
      </c>
      <c r="GS22" t="e">
        <f>AND(OnDemandVsReservedOverview!C36,"AAAAAHvfj8g=")</f>
        <v>#VALUE!</v>
      </c>
      <c r="GT22" t="e">
        <f>AND(OnDemandVsReservedOverview!D36,"AAAAAHvfj8k=")</f>
        <v>#VALUE!</v>
      </c>
      <c r="GU22" t="e">
        <f>AND(OnDemandVsReservedOverview!E36,"AAAAAHvfj8o=")</f>
        <v>#VALUE!</v>
      </c>
      <c r="GV22" t="e">
        <f>AND(OnDemandVsReservedOverview!F36,"AAAAAHvfj8s=")</f>
        <v>#VALUE!</v>
      </c>
      <c r="GW22" t="e">
        <f>AND(OnDemandVsReservedOverview!G36,"AAAAAHvfj8w=")</f>
        <v>#VALUE!</v>
      </c>
      <c r="GX22">
        <f>IF(OnDemandVsReservedOverview!37:37,"AAAAAHvfj80=",0)</f>
        <v>0</v>
      </c>
      <c r="GY22" t="e">
        <f>AND(OnDemandVsReservedOverview!A37,"AAAAAHvfj84=")</f>
        <v>#VALUE!</v>
      </c>
      <c r="GZ22" t="e">
        <f>AND(OnDemandVsReservedOverview!B37,"AAAAAHvfj88=")</f>
        <v>#VALUE!</v>
      </c>
      <c r="HA22" t="e">
        <f>AND(OnDemandVsReservedOverview!C37,"AAAAAHvfj9A=")</f>
        <v>#VALUE!</v>
      </c>
      <c r="HB22" t="e">
        <f>AND(OnDemandVsReservedOverview!D37,"AAAAAHvfj9E=")</f>
        <v>#VALUE!</v>
      </c>
      <c r="HC22" t="e">
        <f>AND(OnDemandVsReservedOverview!E37,"AAAAAHvfj9I=")</f>
        <v>#VALUE!</v>
      </c>
      <c r="HD22" t="e">
        <f>AND(OnDemandVsReservedOverview!F37,"AAAAAHvfj9M=")</f>
        <v>#VALUE!</v>
      </c>
      <c r="HE22" t="e">
        <f>AND(OnDemandVsReservedOverview!G37,"AAAAAHvfj9Q=")</f>
        <v>#VALUE!</v>
      </c>
      <c r="HF22">
        <f>IF(OnDemandVsReservedOverview!38:38,"AAAAAHvfj9U=",0)</f>
        <v>0</v>
      </c>
      <c r="HG22" t="e">
        <f>AND(OnDemandVsReservedOverview!A38,"AAAAAHvfj9Y=")</f>
        <v>#VALUE!</v>
      </c>
      <c r="HH22" t="e">
        <f>AND(OnDemandVsReservedOverview!B38,"AAAAAHvfj9c=")</f>
        <v>#VALUE!</v>
      </c>
      <c r="HI22" t="e">
        <f>AND(OnDemandVsReservedOverview!C38,"AAAAAHvfj9g=")</f>
        <v>#VALUE!</v>
      </c>
      <c r="HJ22" t="e">
        <f>AND(OnDemandVsReservedOverview!D38,"AAAAAHvfj9k=")</f>
        <v>#VALUE!</v>
      </c>
      <c r="HK22" t="e">
        <f>AND(OnDemandVsReservedOverview!E38,"AAAAAHvfj9o=")</f>
        <v>#VALUE!</v>
      </c>
      <c r="HL22" t="e">
        <f>AND(OnDemandVsReservedOverview!F38,"AAAAAHvfj9s=")</f>
        <v>#VALUE!</v>
      </c>
      <c r="HM22" t="e">
        <f>AND(OnDemandVsReservedOverview!G38,"AAAAAHvfj9w=")</f>
        <v>#VALUE!</v>
      </c>
      <c r="HN22">
        <f>IF(OnDemandVsReservedOverview!39:39,"AAAAAHvfj90=",0)</f>
        <v>0</v>
      </c>
      <c r="HO22" t="e">
        <f>AND(OnDemandVsReservedOverview!A39,"AAAAAHvfj94=")</f>
        <v>#VALUE!</v>
      </c>
      <c r="HP22" t="e">
        <f>AND(OnDemandVsReservedOverview!B39,"AAAAAHvfj98=")</f>
        <v>#VALUE!</v>
      </c>
      <c r="HQ22" t="e">
        <f>AND(OnDemandVsReservedOverview!C39,"AAAAAHvfj+A=")</f>
        <v>#VALUE!</v>
      </c>
      <c r="HR22" t="e">
        <f>AND(OnDemandVsReservedOverview!D39,"AAAAAHvfj+E=")</f>
        <v>#VALUE!</v>
      </c>
      <c r="HS22" t="e">
        <f>AND(OnDemandVsReservedOverview!E39,"AAAAAHvfj+I=")</f>
        <v>#VALUE!</v>
      </c>
      <c r="HT22" t="e">
        <f>AND(OnDemandVsReservedOverview!F39,"AAAAAHvfj+M=")</f>
        <v>#VALUE!</v>
      </c>
      <c r="HU22" t="e">
        <f>AND(OnDemandVsReservedOverview!G39,"AAAAAHvfj+Q=")</f>
        <v>#VALUE!</v>
      </c>
      <c r="HV22">
        <f>IF(OnDemandVsReservedOverview!40:40,"AAAAAHvfj+U=",0)</f>
        <v>0</v>
      </c>
      <c r="HW22" t="e">
        <f>AND(OnDemandVsReservedOverview!A40,"AAAAAHvfj+Y=")</f>
        <v>#VALUE!</v>
      </c>
      <c r="HX22" t="e">
        <f>AND(OnDemandVsReservedOverview!B40,"AAAAAHvfj+c=")</f>
        <v>#VALUE!</v>
      </c>
      <c r="HY22" t="e">
        <f>AND(OnDemandVsReservedOverview!C40,"AAAAAHvfj+g=")</f>
        <v>#VALUE!</v>
      </c>
      <c r="HZ22" t="e">
        <f>AND(OnDemandVsReservedOverview!D40,"AAAAAHvfj+k=")</f>
        <v>#VALUE!</v>
      </c>
      <c r="IA22" t="e">
        <f>AND(OnDemandVsReservedOverview!E40,"AAAAAHvfj+o=")</f>
        <v>#VALUE!</v>
      </c>
      <c r="IB22" t="e">
        <f>AND(OnDemandVsReservedOverview!F40,"AAAAAHvfj+s=")</f>
        <v>#VALUE!</v>
      </c>
      <c r="IC22" t="e">
        <f>AND(OnDemandVsReservedOverview!G40,"AAAAAHvfj+w=")</f>
        <v>#VALUE!</v>
      </c>
      <c r="ID22">
        <f>IF(OnDemandVsReservedOverview!41:41,"AAAAAHvfj+0=",0)</f>
        <v>0</v>
      </c>
      <c r="IE22" t="e">
        <f>AND(OnDemandVsReservedOverview!A41,"AAAAAHvfj+4=")</f>
        <v>#VALUE!</v>
      </c>
      <c r="IF22" t="e">
        <f>AND(OnDemandVsReservedOverview!B41,"AAAAAHvfj+8=")</f>
        <v>#VALUE!</v>
      </c>
      <c r="IG22" t="e">
        <f>AND(OnDemandVsReservedOverview!C41,"AAAAAHvfj/A=")</f>
        <v>#VALUE!</v>
      </c>
      <c r="IH22" t="e">
        <f>AND(OnDemandVsReservedOverview!D41,"AAAAAHvfj/E=")</f>
        <v>#VALUE!</v>
      </c>
      <c r="II22" t="e">
        <f>AND(OnDemandVsReservedOverview!E41,"AAAAAHvfj/I=")</f>
        <v>#VALUE!</v>
      </c>
      <c r="IJ22" t="e">
        <f>AND(OnDemandVsReservedOverview!F41,"AAAAAHvfj/M=")</f>
        <v>#VALUE!</v>
      </c>
      <c r="IK22" t="e">
        <f>AND(OnDemandVsReservedOverview!G41,"AAAAAHvfj/Q=")</f>
        <v>#VALUE!</v>
      </c>
      <c r="IL22">
        <f>IF(OnDemandVsReservedOverview!42:42,"AAAAAHvfj/U=",0)</f>
        <v>0</v>
      </c>
      <c r="IM22" t="e">
        <f>AND(OnDemandVsReservedOverview!A42,"AAAAAHvfj/Y=")</f>
        <v>#VALUE!</v>
      </c>
      <c r="IN22" t="e">
        <f>AND(OnDemandVsReservedOverview!B42,"AAAAAHvfj/c=")</f>
        <v>#VALUE!</v>
      </c>
      <c r="IO22" t="e">
        <f>AND(OnDemandVsReservedOverview!C42,"AAAAAHvfj/g=")</f>
        <v>#VALUE!</v>
      </c>
      <c r="IP22" t="e">
        <f>AND(OnDemandVsReservedOverview!D42,"AAAAAHvfj/k=")</f>
        <v>#VALUE!</v>
      </c>
      <c r="IQ22" t="e">
        <f>AND(OnDemandVsReservedOverview!E42,"AAAAAHvfj/o=")</f>
        <v>#VALUE!</v>
      </c>
      <c r="IR22" t="e">
        <f>AND(OnDemandVsReservedOverview!F42,"AAAAAHvfj/s=")</f>
        <v>#VALUE!</v>
      </c>
      <c r="IS22" t="e">
        <f>AND(OnDemandVsReservedOverview!G42,"AAAAAHvfj/w=")</f>
        <v>#VALUE!</v>
      </c>
      <c r="IT22">
        <f>IF(OnDemandVsReservedOverview!43:43,"AAAAAHvfj/0=",0)</f>
        <v>0</v>
      </c>
      <c r="IU22" t="e">
        <f>AND(OnDemandVsReservedOverview!A43,"AAAAAHvfj/4=")</f>
        <v>#VALUE!</v>
      </c>
      <c r="IV22" t="e">
        <f>AND(OnDemandVsReservedOverview!B43,"AAAAAHvfj/8=")</f>
        <v>#VALUE!</v>
      </c>
    </row>
    <row r="23" spans="1:256" x14ac:dyDescent="0.25">
      <c r="A23" t="e">
        <f>AND(OnDemandVsReservedOverview!C43,"AAAAAH9fXgA=")</f>
        <v>#VALUE!</v>
      </c>
      <c r="B23" t="e">
        <f>AND(OnDemandVsReservedOverview!D43,"AAAAAH9fXgE=")</f>
        <v>#VALUE!</v>
      </c>
      <c r="C23" t="e">
        <f>AND(OnDemandVsReservedOverview!E43,"AAAAAH9fXgI=")</f>
        <v>#VALUE!</v>
      </c>
      <c r="D23" t="e">
        <f>AND(OnDemandVsReservedOverview!F43,"AAAAAH9fXgM=")</f>
        <v>#VALUE!</v>
      </c>
      <c r="E23" t="e">
        <f>AND(OnDemandVsReservedOverview!G43,"AAAAAH9fXgQ=")</f>
        <v>#VALUE!</v>
      </c>
      <c r="F23">
        <f>IF(OnDemandVsReservedOverview!44:44,"AAAAAH9fXgU=",0)</f>
        <v>0</v>
      </c>
      <c r="G23" t="e">
        <f>AND(OnDemandVsReservedOverview!A44,"AAAAAH9fXgY=")</f>
        <v>#VALUE!</v>
      </c>
      <c r="H23" t="e">
        <f>AND(OnDemandVsReservedOverview!B44,"AAAAAH9fXgc=")</f>
        <v>#VALUE!</v>
      </c>
      <c r="I23" t="e">
        <f>AND(OnDemandVsReservedOverview!C44,"AAAAAH9fXgg=")</f>
        <v>#VALUE!</v>
      </c>
      <c r="J23" t="e">
        <f>AND(OnDemandVsReservedOverview!D44,"AAAAAH9fXgk=")</f>
        <v>#VALUE!</v>
      </c>
      <c r="K23" t="e">
        <f>AND(OnDemandVsReservedOverview!E44,"AAAAAH9fXgo=")</f>
        <v>#VALUE!</v>
      </c>
      <c r="L23" t="e">
        <f>AND(OnDemandVsReservedOverview!F44,"AAAAAH9fXgs=")</f>
        <v>#VALUE!</v>
      </c>
      <c r="M23" t="e">
        <f>AND(OnDemandVsReservedOverview!G44,"AAAAAH9fXgw=")</f>
        <v>#VALUE!</v>
      </c>
      <c r="N23">
        <f>IF(OnDemandVsReservedOverview!45:45,"AAAAAH9fXg0=",0)</f>
        <v>0</v>
      </c>
      <c r="O23" t="e">
        <f>AND(OnDemandVsReservedOverview!A45,"AAAAAH9fXg4=")</f>
        <v>#VALUE!</v>
      </c>
      <c r="P23" t="e">
        <f>AND(OnDemandVsReservedOverview!B45,"AAAAAH9fXg8=")</f>
        <v>#VALUE!</v>
      </c>
      <c r="Q23" t="e">
        <f>AND(OnDemandVsReservedOverview!C45,"AAAAAH9fXhA=")</f>
        <v>#VALUE!</v>
      </c>
      <c r="R23" t="e">
        <f>AND(OnDemandVsReservedOverview!D45,"AAAAAH9fXhE=")</f>
        <v>#VALUE!</v>
      </c>
      <c r="S23" t="e">
        <f>AND(OnDemandVsReservedOverview!E45,"AAAAAH9fXhI=")</f>
        <v>#VALUE!</v>
      </c>
      <c r="T23" t="e">
        <f>AND(OnDemandVsReservedOverview!F45,"AAAAAH9fXhM=")</f>
        <v>#VALUE!</v>
      </c>
      <c r="U23" t="e">
        <f>AND(OnDemandVsReservedOverview!G45,"AAAAAH9fXhQ=")</f>
        <v>#VALUE!</v>
      </c>
      <c r="V23">
        <f>IF(OnDemandVsReservedOverview!46:46,"AAAAAH9fXhU=",0)</f>
        <v>0</v>
      </c>
      <c r="W23" t="e">
        <f>AND(OnDemandVsReservedOverview!A46,"AAAAAH9fXhY=")</f>
        <v>#VALUE!</v>
      </c>
      <c r="X23" t="e">
        <f>AND(OnDemandVsReservedOverview!B46,"AAAAAH9fXhc=")</f>
        <v>#VALUE!</v>
      </c>
      <c r="Y23" t="e">
        <f>AND(OnDemandVsReservedOverview!C46,"AAAAAH9fXhg=")</f>
        <v>#VALUE!</v>
      </c>
      <c r="Z23" t="e">
        <f>AND(OnDemandVsReservedOverview!D46,"AAAAAH9fXhk=")</f>
        <v>#VALUE!</v>
      </c>
      <c r="AA23" t="e">
        <f>AND(OnDemandVsReservedOverview!E46,"AAAAAH9fXho=")</f>
        <v>#VALUE!</v>
      </c>
      <c r="AB23" t="e">
        <f>AND(OnDemandVsReservedOverview!F46,"AAAAAH9fXhs=")</f>
        <v>#VALUE!</v>
      </c>
      <c r="AC23" t="e">
        <f>AND(OnDemandVsReservedOverview!G46,"AAAAAH9fXhw=")</f>
        <v>#VALUE!</v>
      </c>
      <c r="AD23">
        <f>IF(OnDemandVsReservedOverview!47:47,"AAAAAH9fXh0=",0)</f>
        <v>0</v>
      </c>
      <c r="AE23" t="e">
        <f>AND(OnDemandVsReservedOverview!A47,"AAAAAH9fXh4=")</f>
        <v>#VALUE!</v>
      </c>
      <c r="AF23" t="e">
        <f>AND(OnDemandVsReservedOverview!B47,"AAAAAH9fXh8=")</f>
        <v>#VALUE!</v>
      </c>
      <c r="AG23" t="e">
        <f>AND(OnDemandVsReservedOverview!C47,"AAAAAH9fXiA=")</f>
        <v>#VALUE!</v>
      </c>
      <c r="AH23" t="e">
        <f>AND(OnDemandVsReservedOverview!D47,"AAAAAH9fXiE=")</f>
        <v>#VALUE!</v>
      </c>
      <c r="AI23" t="e">
        <f>AND(OnDemandVsReservedOverview!E47,"AAAAAH9fXiI=")</f>
        <v>#VALUE!</v>
      </c>
      <c r="AJ23" t="e">
        <f>AND(OnDemandVsReservedOverview!F47,"AAAAAH9fXiM=")</f>
        <v>#VALUE!</v>
      </c>
      <c r="AK23" t="e">
        <f>AND(OnDemandVsReservedOverview!G47,"AAAAAH9fXiQ=")</f>
        <v>#VALUE!</v>
      </c>
      <c r="AL23">
        <f>IF(OnDemandVsReservedOverview!48:48,"AAAAAH9fXiU=",0)</f>
        <v>0</v>
      </c>
      <c r="AM23" t="e">
        <f>AND(OnDemandVsReservedOverview!A48,"AAAAAH9fXiY=")</f>
        <v>#VALUE!</v>
      </c>
      <c r="AN23" t="e">
        <f>AND(OnDemandVsReservedOverview!B48,"AAAAAH9fXic=")</f>
        <v>#VALUE!</v>
      </c>
      <c r="AO23" t="e">
        <f>AND(OnDemandVsReservedOverview!C48,"AAAAAH9fXig=")</f>
        <v>#VALUE!</v>
      </c>
      <c r="AP23" t="e">
        <f>AND(OnDemandVsReservedOverview!D48,"AAAAAH9fXik=")</f>
        <v>#VALUE!</v>
      </c>
      <c r="AQ23" t="e">
        <f>AND(OnDemandVsReservedOverview!E48,"AAAAAH9fXio=")</f>
        <v>#VALUE!</v>
      </c>
      <c r="AR23" t="e">
        <f>AND(OnDemandVsReservedOverview!F48,"AAAAAH9fXis=")</f>
        <v>#VALUE!</v>
      </c>
      <c r="AS23" t="e">
        <f>AND(OnDemandVsReservedOverview!G48,"AAAAAH9fXiw=")</f>
        <v>#VALUE!</v>
      </c>
      <c r="AT23">
        <f>IF(OnDemandVsReservedOverview!49:49,"AAAAAH9fXi0=",0)</f>
        <v>0</v>
      </c>
      <c r="AU23" t="e">
        <f>AND(OnDemandVsReservedOverview!A49,"AAAAAH9fXi4=")</f>
        <v>#VALUE!</v>
      </c>
      <c r="AV23" t="e">
        <f>AND(OnDemandVsReservedOverview!B49,"AAAAAH9fXi8=")</f>
        <v>#VALUE!</v>
      </c>
      <c r="AW23" t="e">
        <f>AND(OnDemandVsReservedOverview!C49,"AAAAAH9fXjA=")</f>
        <v>#VALUE!</v>
      </c>
      <c r="AX23" t="e">
        <f>AND(OnDemandVsReservedOverview!D49,"AAAAAH9fXjE=")</f>
        <v>#VALUE!</v>
      </c>
      <c r="AY23" t="e">
        <f>AND(OnDemandVsReservedOverview!E49,"AAAAAH9fXjI=")</f>
        <v>#VALUE!</v>
      </c>
      <c r="AZ23" t="e">
        <f>AND(OnDemandVsReservedOverview!F49,"AAAAAH9fXjM=")</f>
        <v>#VALUE!</v>
      </c>
      <c r="BA23" t="e">
        <f>AND(OnDemandVsReservedOverview!G49,"AAAAAH9fXjQ=")</f>
        <v>#VALUE!</v>
      </c>
      <c r="BB23">
        <f>IF(OnDemandVsReservedOverview!50:50,"AAAAAH9fXjU=",0)</f>
        <v>0</v>
      </c>
      <c r="BC23" t="e">
        <f>AND(OnDemandVsReservedOverview!A50,"AAAAAH9fXjY=")</f>
        <v>#VALUE!</v>
      </c>
      <c r="BD23" t="e">
        <f>AND(OnDemandVsReservedOverview!B50,"AAAAAH9fXjc=")</f>
        <v>#VALUE!</v>
      </c>
      <c r="BE23" t="e">
        <f>AND(OnDemandVsReservedOverview!C50,"AAAAAH9fXjg=")</f>
        <v>#VALUE!</v>
      </c>
      <c r="BF23" t="e">
        <f>AND(OnDemandVsReservedOverview!D50,"AAAAAH9fXjk=")</f>
        <v>#VALUE!</v>
      </c>
      <c r="BG23" t="e">
        <f>AND(OnDemandVsReservedOverview!E50,"AAAAAH9fXjo=")</f>
        <v>#VALUE!</v>
      </c>
      <c r="BH23" t="e">
        <f>AND(OnDemandVsReservedOverview!F50,"AAAAAH9fXjs=")</f>
        <v>#VALUE!</v>
      </c>
      <c r="BI23" t="e">
        <f>AND(OnDemandVsReservedOverview!G50,"AAAAAH9fXjw=")</f>
        <v>#VALUE!</v>
      </c>
      <c r="BJ23">
        <f>IF(OnDemandVsReservedOverview!51:51,"AAAAAH9fXj0=",0)</f>
        <v>0</v>
      </c>
      <c r="BK23" t="e">
        <f>AND(OnDemandVsReservedOverview!A51,"AAAAAH9fXj4=")</f>
        <v>#VALUE!</v>
      </c>
      <c r="BL23" t="e">
        <f>AND(OnDemandVsReservedOverview!B51,"AAAAAH9fXj8=")</f>
        <v>#VALUE!</v>
      </c>
      <c r="BM23" t="e">
        <f>AND(OnDemandVsReservedOverview!C51,"AAAAAH9fXkA=")</f>
        <v>#VALUE!</v>
      </c>
      <c r="BN23" t="e">
        <f>AND(OnDemandVsReservedOverview!D51,"AAAAAH9fXkE=")</f>
        <v>#VALUE!</v>
      </c>
      <c r="BO23" t="e">
        <f>AND(OnDemandVsReservedOverview!E51,"AAAAAH9fXkI=")</f>
        <v>#VALUE!</v>
      </c>
      <c r="BP23" t="e">
        <f>AND(OnDemandVsReservedOverview!F51,"AAAAAH9fXkM=")</f>
        <v>#VALUE!</v>
      </c>
      <c r="BQ23" t="e">
        <f>AND(OnDemandVsReservedOverview!G51,"AAAAAH9fXkQ=")</f>
        <v>#VALUE!</v>
      </c>
      <c r="BR23">
        <f>IF(OnDemandVsReservedOverview!52:52,"AAAAAH9fXkU=",0)</f>
        <v>0</v>
      </c>
      <c r="BS23" t="e">
        <f>AND(OnDemandVsReservedOverview!A52,"AAAAAH9fXkY=")</f>
        <v>#VALUE!</v>
      </c>
      <c r="BT23" t="e">
        <f>AND(OnDemandVsReservedOverview!B52,"AAAAAH9fXkc=")</f>
        <v>#VALUE!</v>
      </c>
      <c r="BU23" t="e">
        <f>AND(OnDemandVsReservedOverview!C52,"AAAAAH9fXkg=")</f>
        <v>#VALUE!</v>
      </c>
      <c r="BV23" t="e">
        <f>AND(OnDemandVsReservedOverview!D52,"AAAAAH9fXkk=")</f>
        <v>#VALUE!</v>
      </c>
      <c r="BW23" t="e">
        <f>AND(OnDemandVsReservedOverview!E52,"AAAAAH9fXko=")</f>
        <v>#VALUE!</v>
      </c>
      <c r="BX23" t="e">
        <f>AND(OnDemandVsReservedOverview!F52,"AAAAAH9fXks=")</f>
        <v>#VALUE!</v>
      </c>
      <c r="BY23" t="e">
        <f>AND(OnDemandVsReservedOverview!G52,"AAAAAH9fXkw=")</f>
        <v>#VALUE!</v>
      </c>
      <c r="BZ23">
        <f>IF(OnDemandVsReservedOverview!53:53,"AAAAAH9fXk0=",0)</f>
        <v>0</v>
      </c>
      <c r="CA23" t="e">
        <f>AND(OnDemandVsReservedOverview!A53,"AAAAAH9fXk4=")</f>
        <v>#VALUE!</v>
      </c>
      <c r="CB23" t="e">
        <f>AND(OnDemandVsReservedOverview!B53,"AAAAAH9fXk8=")</f>
        <v>#VALUE!</v>
      </c>
      <c r="CC23" t="e">
        <f>AND(OnDemandVsReservedOverview!C53,"AAAAAH9fXlA=")</f>
        <v>#VALUE!</v>
      </c>
      <c r="CD23" t="e">
        <f>AND(OnDemandVsReservedOverview!D53,"AAAAAH9fXlE=")</f>
        <v>#VALUE!</v>
      </c>
      <c r="CE23" t="e">
        <f>AND(OnDemandVsReservedOverview!E53,"AAAAAH9fXlI=")</f>
        <v>#VALUE!</v>
      </c>
      <c r="CF23" t="e">
        <f>AND(OnDemandVsReservedOverview!F53,"AAAAAH9fXlM=")</f>
        <v>#VALUE!</v>
      </c>
      <c r="CG23" t="e">
        <f>AND(OnDemandVsReservedOverview!G53,"AAAAAH9fXlQ=")</f>
        <v>#VALUE!</v>
      </c>
      <c r="CH23">
        <f>IF(OnDemandVsReservedOverview!54:54,"AAAAAH9fXlU=",0)</f>
        <v>0</v>
      </c>
      <c r="CI23" t="e">
        <f>AND(OnDemandVsReservedOverview!A54,"AAAAAH9fXlY=")</f>
        <v>#VALUE!</v>
      </c>
      <c r="CJ23" t="e">
        <f>AND(OnDemandVsReservedOverview!B54,"AAAAAH9fXlc=")</f>
        <v>#VALUE!</v>
      </c>
      <c r="CK23" t="e">
        <f>AND(OnDemandVsReservedOverview!C54,"AAAAAH9fXlg=")</f>
        <v>#VALUE!</v>
      </c>
      <c r="CL23" t="e">
        <f>AND(OnDemandVsReservedOverview!D54,"AAAAAH9fXlk=")</f>
        <v>#VALUE!</v>
      </c>
      <c r="CM23" t="e">
        <f>AND(OnDemandVsReservedOverview!E54,"AAAAAH9fXlo=")</f>
        <v>#VALUE!</v>
      </c>
      <c r="CN23" t="e">
        <f>AND(OnDemandVsReservedOverview!F54,"AAAAAH9fXls=")</f>
        <v>#VALUE!</v>
      </c>
      <c r="CO23" t="e">
        <f>AND(OnDemandVsReservedOverview!G54,"AAAAAH9fXlw=")</f>
        <v>#VALUE!</v>
      </c>
      <c r="CP23">
        <f>IF(OnDemandVsReservedOverview!55:55,"AAAAAH9fXl0=",0)</f>
        <v>0</v>
      </c>
      <c r="CQ23" t="e">
        <f>AND(OnDemandVsReservedOverview!A55,"AAAAAH9fXl4=")</f>
        <v>#VALUE!</v>
      </c>
      <c r="CR23" t="e">
        <f>AND(OnDemandVsReservedOverview!B55,"AAAAAH9fXl8=")</f>
        <v>#VALUE!</v>
      </c>
      <c r="CS23" t="e">
        <f>AND(OnDemandVsReservedOverview!C55,"AAAAAH9fXmA=")</f>
        <v>#VALUE!</v>
      </c>
      <c r="CT23" t="e">
        <f>AND(OnDemandVsReservedOverview!D55,"AAAAAH9fXmE=")</f>
        <v>#VALUE!</v>
      </c>
      <c r="CU23" t="e">
        <f>AND(OnDemandVsReservedOverview!E55,"AAAAAH9fXmI=")</f>
        <v>#VALUE!</v>
      </c>
      <c r="CV23" t="e">
        <f>AND(OnDemandVsReservedOverview!F55,"AAAAAH9fXmM=")</f>
        <v>#VALUE!</v>
      </c>
      <c r="CW23" t="e">
        <f>AND(OnDemandVsReservedOverview!G55,"AAAAAH9fXmQ=")</f>
        <v>#VALUE!</v>
      </c>
      <c r="CX23">
        <f>IF(OnDemandVsReservedOverview!56:56,"AAAAAH9fXmU=",0)</f>
        <v>0</v>
      </c>
      <c r="CY23" t="e">
        <f>AND(OnDemandVsReservedOverview!A56,"AAAAAH9fXmY=")</f>
        <v>#VALUE!</v>
      </c>
      <c r="CZ23" t="e">
        <f>AND(OnDemandVsReservedOverview!B56,"AAAAAH9fXmc=")</f>
        <v>#VALUE!</v>
      </c>
      <c r="DA23" t="e">
        <f>AND(OnDemandVsReservedOverview!C56,"AAAAAH9fXmg=")</f>
        <v>#VALUE!</v>
      </c>
      <c r="DB23" t="e">
        <f>AND(OnDemandVsReservedOverview!D56,"AAAAAH9fXmk=")</f>
        <v>#VALUE!</v>
      </c>
      <c r="DC23" t="e">
        <f>AND(OnDemandVsReservedOverview!E56,"AAAAAH9fXmo=")</f>
        <v>#VALUE!</v>
      </c>
      <c r="DD23" t="e">
        <f>AND(OnDemandVsReservedOverview!F56,"AAAAAH9fXms=")</f>
        <v>#VALUE!</v>
      </c>
      <c r="DE23" t="e">
        <f>AND(OnDemandVsReservedOverview!G56,"AAAAAH9fXmw=")</f>
        <v>#VALUE!</v>
      </c>
      <c r="DF23">
        <f>IF(OnDemandVsReservedOverview!57:57,"AAAAAH9fXm0=",0)</f>
        <v>0</v>
      </c>
      <c r="DG23" t="e">
        <f>AND(OnDemandVsReservedOverview!A57,"AAAAAH9fXm4=")</f>
        <v>#VALUE!</v>
      </c>
      <c r="DH23" t="e">
        <f>AND(OnDemandVsReservedOverview!B57,"AAAAAH9fXm8=")</f>
        <v>#VALUE!</v>
      </c>
      <c r="DI23" t="e">
        <f>AND(OnDemandVsReservedOverview!C57,"AAAAAH9fXnA=")</f>
        <v>#VALUE!</v>
      </c>
      <c r="DJ23" t="e">
        <f>AND(OnDemandVsReservedOverview!D57,"AAAAAH9fXnE=")</f>
        <v>#VALUE!</v>
      </c>
      <c r="DK23" t="e">
        <f>AND(OnDemandVsReservedOverview!E57,"AAAAAH9fXnI=")</f>
        <v>#VALUE!</v>
      </c>
      <c r="DL23" t="e">
        <f>AND(OnDemandVsReservedOverview!F57,"AAAAAH9fXnM=")</f>
        <v>#VALUE!</v>
      </c>
      <c r="DM23" t="e">
        <f>AND(OnDemandVsReservedOverview!G57,"AAAAAH9fXnQ=")</f>
        <v>#VALUE!</v>
      </c>
      <c r="DN23">
        <f>IF(OnDemandVsReservedOverview!58:58,"AAAAAH9fXnU=",0)</f>
        <v>0</v>
      </c>
      <c r="DO23" t="e">
        <f>AND(OnDemandVsReservedOverview!A58,"AAAAAH9fXnY=")</f>
        <v>#VALUE!</v>
      </c>
      <c r="DP23" t="e">
        <f>AND(OnDemandVsReservedOverview!B58,"AAAAAH9fXnc=")</f>
        <v>#VALUE!</v>
      </c>
      <c r="DQ23" t="e">
        <f>AND(OnDemandVsReservedOverview!C58,"AAAAAH9fXng=")</f>
        <v>#VALUE!</v>
      </c>
      <c r="DR23" t="e">
        <f>AND(OnDemandVsReservedOverview!D58,"AAAAAH9fXnk=")</f>
        <v>#VALUE!</v>
      </c>
      <c r="DS23" t="e">
        <f>AND(OnDemandVsReservedOverview!E58,"AAAAAH9fXno=")</f>
        <v>#VALUE!</v>
      </c>
      <c r="DT23" t="e">
        <f>AND(OnDemandVsReservedOverview!F58,"AAAAAH9fXns=")</f>
        <v>#VALUE!</v>
      </c>
      <c r="DU23" t="e">
        <f>AND(OnDemandVsReservedOverview!G58,"AAAAAH9fXnw=")</f>
        <v>#VALUE!</v>
      </c>
      <c r="DV23">
        <f>IF(OnDemandVsReservedOverview!59:59,"AAAAAH9fXn0=",0)</f>
        <v>0</v>
      </c>
      <c r="DW23" t="e">
        <f>AND(OnDemandVsReservedOverview!A59,"AAAAAH9fXn4=")</f>
        <v>#VALUE!</v>
      </c>
      <c r="DX23" t="e">
        <f>AND(OnDemandVsReservedOverview!B59,"AAAAAH9fXn8=")</f>
        <v>#VALUE!</v>
      </c>
      <c r="DY23" t="e">
        <f>AND(OnDemandVsReservedOverview!C59,"AAAAAH9fXoA=")</f>
        <v>#VALUE!</v>
      </c>
      <c r="DZ23" t="e">
        <f>AND(OnDemandVsReservedOverview!D59,"AAAAAH9fXoE=")</f>
        <v>#VALUE!</v>
      </c>
      <c r="EA23" t="e">
        <f>AND(OnDemandVsReservedOverview!E59,"AAAAAH9fXoI=")</f>
        <v>#VALUE!</v>
      </c>
      <c r="EB23" t="e">
        <f>AND(OnDemandVsReservedOverview!F59,"AAAAAH9fXoM=")</f>
        <v>#VALUE!</v>
      </c>
      <c r="EC23" t="e">
        <f>AND(OnDemandVsReservedOverview!G59,"AAAAAH9fXoQ=")</f>
        <v>#VALUE!</v>
      </c>
      <c r="ED23">
        <f>IF(OnDemandVsReservedOverview!60:60,"AAAAAH9fXoU=",0)</f>
        <v>0</v>
      </c>
      <c r="EE23" t="e">
        <f>AND(OnDemandVsReservedOverview!A60,"AAAAAH9fXoY=")</f>
        <v>#VALUE!</v>
      </c>
      <c r="EF23" t="e">
        <f>AND(OnDemandVsReservedOverview!B60,"AAAAAH9fXoc=")</f>
        <v>#VALUE!</v>
      </c>
      <c r="EG23" t="e">
        <f>AND(OnDemandVsReservedOverview!C60,"AAAAAH9fXog=")</f>
        <v>#VALUE!</v>
      </c>
      <c r="EH23" t="e">
        <f>AND(OnDemandVsReservedOverview!D60,"AAAAAH9fXok=")</f>
        <v>#VALUE!</v>
      </c>
      <c r="EI23" t="e">
        <f>AND(OnDemandVsReservedOverview!E60,"AAAAAH9fXoo=")</f>
        <v>#VALUE!</v>
      </c>
      <c r="EJ23" t="e">
        <f>AND(OnDemandVsReservedOverview!F60,"AAAAAH9fXos=")</f>
        <v>#VALUE!</v>
      </c>
      <c r="EK23" t="e">
        <f>AND(OnDemandVsReservedOverview!G60,"AAAAAH9fXow=")</f>
        <v>#VALUE!</v>
      </c>
      <c r="EL23">
        <f>IF(OnDemandVsReservedOverview!61:61,"AAAAAH9fXo0=",0)</f>
        <v>0</v>
      </c>
      <c r="EM23" t="e">
        <f>AND(OnDemandVsReservedOverview!A61,"AAAAAH9fXo4=")</f>
        <v>#VALUE!</v>
      </c>
      <c r="EN23" t="e">
        <f>AND(OnDemandVsReservedOverview!B61,"AAAAAH9fXo8=")</f>
        <v>#VALUE!</v>
      </c>
      <c r="EO23" t="e">
        <f>AND(OnDemandVsReservedOverview!C61,"AAAAAH9fXpA=")</f>
        <v>#VALUE!</v>
      </c>
      <c r="EP23" t="e">
        <f>AND(OnDemandVsReservedOverview!D61,"AAAAAH9fXpE=")</f>
        <v>#VALUE!</v>
      </c>
      <c r="EQ23" t="e">
        <f>AND(OnDemandVsReservedOverview!E61,"AAAAAH9fXpI=")</f>
        <v>#VALUE!</v>
      </c>
      <c r="ER23" t="e">
        <f>AND(OnDemandVsReservedOverview!F61,"AAAAAH9fXpM=")</f>
        <v>#VALUE!</v>
      </c>
      <c r="ES23" t="e">
        <f>AND(OnDemandVsReservedOverview!G61,"AAAAAH9fXpQ=")</f>
        <v>#VALUE!</v>
      </c>
      <c r="ET23">
        <f>IF(OnDemandVsReservedOverview!62:62,"AAAAAH9fXpU=",0)</f>
        <v>0</v>
      </c>
      <c r="EU23" t="e">
        <f>AND(OnDemandVsReservedOverview!A62,"AAAAAH9fXpY=")</f>
        <v>#VALUE!</v>
      </c>
      <c r="EV23" t="e">
        <f>AND(OnDemandVsReservedOverview!B62,"AAAAAH9fXpc=")</f>
        <v>#VALUE!</v>
      </c>
      <c r="EW23" t="e">
        <f>AND(OnDemandVsReservedOverview!C62,"AAAAAH9fXpg=")</f>
        <v>#VALUE!</v>
      </c>
      <c r="EX23" t="e">
        <f>AND(OnDemandVsReservedOverview!D62,"AAAAAH9fXpk=")</f>
        <v>#VALUE!</v>
      </c>
      <c r="EY23" t="e">
        <f>AND(OnDemandVsReservedOverview!E62,"AAAAAH9fXpo=")</f>
        <v>#VALUE!</v>
      </c>
      <c r="EZ23" t="e">
        <f>AND(OnDemandVsReservedOverview!F62,"AAAAAH9fXps=")</f>
        <v>#VALUE!</v>
      </c>
      <c r="FA23" t="e">
        <f>AND(OnDemandVsReservedOverview!G62,"AAAAAH9fXpw=")</f>
        <v>#VALUE!</v>
      </c>
      <c r="FB23">
        <f>IF(OnDemandVsReservedOverview!63:63,"AAAAAH9fXp0=",0)</f>
        <v>0</v>
      </c>
      <c r="FC23" t="e">
        <f>AND(OnDemandVsReservedOverview!A63,"AAAAAH9fXp4=")</f>
        <v>#VALUE!</v>
      </c>
      <c r="FD23" t="e">
        <f>AND(OnDemandVsReservedOverview!B63,"AAAAAH9fXp8=")</f>
        <v>#VALUE!</v>
      </c>
      <c r="FE23" t="e">
        <f>AND(OnDemandVsReservedOverview!C63,"AAAAAH9fXqA=")</f>
        <v>#VALUE!</v>
      </c>
      <c r="FF23" t="e">
        <f>AND(OnDemandVsReservedOverview!D63,"AAAAAH9fXqE=")</f>
        <v>#VALUE!</v>
      </c>
      <c r="FG23" t="e">
        <f>AND(OnDemandVsReservedOverview!E63,"AAAAAH9fXqI=")</f>
        <v>#VALUE!</v>
      </c>
      <c r="FH23" t="e">
        <f>AND(OnDemandVsReservedOverview!F63,"AAAAAH9fXqM=")</f>
        <v>#VALUE!</v>
      </c>
      <c r="FI23" t="e">
        <f>AND(OnDemandVsReservedOverview!G63,"AAAAAH9fXqQ=")</f>
        <v>#VALUE!</v>
      </c>
      <c r="FJ23">
        <f>IF(OnDemandVsReservedOverview!64:64,"AAAAAH9fXqU=",0)</f>
        <v>0</v>
      </c>
      <c r="FK23" t="e">
        <f>AND(OnDemandVsReservedOverview!A64,"AAAAAH9fXqY=")</f>
        <v>#VALUE!</v>
      </c>
      <c r="FL23" t="e">
        <f>AND(OnDemandVsReservedOverview!B64,"AAAAAH9fXqc=")</f>
        <v>#VALUE!</v>
      </c>
      <c r="FM23" t="e">
        <f>AND(OnDemandVsReservedOverview!C64,"AAAAAH9fXqg=")</f>
        <v>#VALUE!</v>
      </c>
      <c r="FN23" t="e">
        <f>AND(OnDemandVsReservedOverview!D64,"AAAAAH9fXqk=")</f>
        <v>#VALUE!</v>
      </c>
      <c r="FO23" t="e">
        <f>AND(OnDemandVsReservedOverview!E64,"AAAAAH9fXqo=")</f>
        <v>#VALUE!</v>
      </c>
      <c r="FP23" t="e">
        <f>AND(OnDemandVsReservedOverview!F64,"AAAAAH9fXqs=")</f>
        <v>#VALUE!</v>
      </c>
      <c r="FQ23" t="e">
        <f>AND(OnDemandVsReservedOverview!G64,"AAAAAH9fXqw=")</f>
        <v>#VALUE!</v>
      </c>
      <c r="FR23">
        <f>IF(OnDemandVsReservedOverview!65:65,"AAAAAH9fXq0=",0)</f>
        <v>0</v>
      </c>
      <c r="FS23" t="e">
        <f>AND(OnDemandVsReservedOverview!A65,"AAAAAH9fXq4=")</f>
        <v>#VALUE!</v>
      </c>
      <c r="FT23" t="e">
        <f>AND(OnDemandVsReservedOverview!B65,"AAAAAH9fXq8=")</f>
        <v>#VALUE!</v>
      </c>
      <c r="FU23" t="e">
        <f>AND(OnDemandVsReservedOverview!C65,"AAAAAH9fXrA=")</f>
        <v>#VALUE!</v>
      </c>
      <c r="FV23" t="e">
        <f>AND(OnDemandVsReservedOverview!D65,"AAAAAH9fXrE=")</f>
        <v>#VALUE!</v>
      </c>
      <c r="FW23" t="e">
        <f>AND(OnDemandVsReservedOverview!E65,"AAAAAH9fXrI=")</f>
        <v>#VALUE!</v>
      </c>
      <c r="FX23" t="e">
        <f>AND(OnDemandVsReservedOverview!F65,"AAAAAH9fXrM=")</f>
        <v>#VALUE!</v>
      </c>
      <c r="FY23" t="e">
        <f>AND(OnDemandVsReservedOverview!G65,"AAAAAH9fXrQ=")</f>
        <v>#VALUE!</v>
      </c>
      <c r="FZ23">
        <f>IF(OnDemandVsReservedOverview!66:66,"AAAAAH9fXrU=",0)</f>
        <v>0</v>
      </c>
      <c r="GA23" t="e">
        <f>AND(OnDemandVsReservedOverview!A66,"AAAAAH9fXrY=")</f>
        <v>#VALUE!</v>
      </c>
      <c r="GB23" t="e">
        <f>AND(OnDemandVsReservedOverview!B66,"AAAAAH9fXrc=")</f>
        <v>#VALUE!</v>
      </c>
      <c r="GC23" t="e">
        <f>AND(OnDemandVsReservedOverview!C66,"AAAAAH9fXrg=")</f>
        <v>#VALUE!</v>
      </c>
      <c r="GD23" t="e">
        <f>AND(OnDemandVsReservedOverview!D66,"AAAAAH9fXrk=")</f>
        <v>#VALUE!</v>
      </c>
      <c r="GE23" t="e">
        <f>AND(OnDemandVsReservedOverview!E66,"AAAAAH9fXro=")</f>
        <v>#VALUE!</v>
      </c>
      <c r="GF23" t="e">
        <f>AND(OnDemandVsReservedOverview!F66,"AAAAAH9fXrs=")</f>
        <v>#VALUE!</v>
      </c>
      <c r="GG23" t="e">
        <f>AND(OnDemandVsReservedOverview!G66,"AAAAAH9fXrw=")</f>
        <v>#VALUE!</v>
      </c>
      <c r="GH23">
        <f>IF(OnDemandVsReservedOverview!67:67,"AAAAAH9fXr0=",0)</f>
        <v>0</v>
      </c>
      <c r="GI23" t="e">
        <f>AND(OnDemandVsReservedOverview!A67,"AAAAAH9fXr4=")</f>
        <v>#VALUE!</v>
      </c>
      <c r="GJ23" t="e">
        <f>AND(OnDemandVsReservedOverview!B67,"AAAAAH9fXr8=")</f>
        <v>#VALUE!</v>
      </c>
      <c r="GK23" t="e">
        <f>AND(OnDemandVsReservedOverview!C67,"AAAAAH9fXsA=")</f>
        <v>#VALUE!</v>
      </c>
      <c r="GL23" t="e">
        <f>AND(OnDemandVsReservedOverview!D67,"AAAAAH9fXsE=")</f>
        <v>#VALUE!</v>
      </c>
      <c r="GM23" t="e">
        <f>AND(OnDemandVsReservedOverview!E67,"AAAAAH9fXsI=")</f>
        <v>#VALUE!</v>
      </c>
      <c r="GN23" t="e">
        <f>AND(OnDemandVsReservedOverview!F67,"AAAAAH9fXsM=")</f>
        <v>#VALUE!</v>
      </c>
      <c r="GO23" t="e">
        <f>AND(OnDemandVsReservedOverview!G67,"AAAAAH9fXsQ=")</f>
        <v>#VALUE!</v>
      </c>
      <c r="GP23">
        <f>IF(OnDemandVsReservedOverview!68:68,"AAAAAH9fXsU=",0)</f>
        <v>0</v>
      </c>
      <c r="GQ23" t="e">
        <f>AND(OnDemandVsReservedOverview!A68,"AAAAAH9fXsY=")</f>
        <v>#VALUE!</v>
      </c>
      <c r="GR23" t="e">
        <f>AND(OnDemandVsReservedOverview!B68,"AAAAAH9fXsc=")</f>
        <v>#VALUE!</v>
      </c>
      <c r="GS23" t="e">
        <f>AND(OnDemandVsReservedOverview!C68,"AAAAAH9fXsg=")</f>
        <v>#VALUE!</v>
      </c>
      <c r="GT23" t="e">
        <f>AND(OnDemandVsReservedOverview!D68,"AAAAAH9fXsk=")</f>
        <v>#VALUE!</v>
      </c>
      <c r="GU23" t="e">
        <f>AND(OnDemandVsReservedOverview!E68,"AAAAAH9fXso=")</f>
        <v>#VALUE!</v>
      </c>
      <c r="GV23" t="e">
        <f>AND(OnDemandVsReservedOverview!F68,"AAAAAH9fXss=")</f>
        <v>#VALUE!</v>
      </c>
      <c r="GW23" t="e">
        <f>AND(OnDemandVsReservedOverview!G68,"AAAAAH9fXsw=")</f>
        <v>#VALUE!</v>
      </c>
      <c r="GX23">
        <f>IF(OnDemandVsReservedOverview!69:69,"AAAAAH9fXs0=",0)</f>
        <v>0</v>
      </c>
      <c r="GY23" t="e">
        <f>AND(OnDemandVsReservedOverview!A69,"AAAAAH9fXs4=")</f>
        <v>#VALUE!</v>
      </c>
      <c r="GZ23" t="e">
        <f>AND(OnDemandVsReservedOverview!B69,"AAAAAH9fXs8=")</f>
        <v>#VALUE!</v>
      </c>
      <c r="HA23" t="e">
        <f>AND(OnDemandVsReservedOverview!C69,"AAAAAH9fXtA=")</f>
        <v>#VALUE!</v>
      </c>
      <c r="HB23" t="e">
        <f>AND(OnDemandVsReservedOverview!D69,"AAAAAH9fXtE=")</f>
        <v>#VALUE!</v>
      </c>
      <c r="HC23" t="e">
        <f>AND(OnDemandVsReservedOverview!E69,"AAAAAH9fXtI=")</f>
        <v>#VALUE!</v>
      </c>
      <c r="HD23" t="e">
        <f>AND(OnDemandVsReservedOverview!F69,"AAAAAH9fXtM=")</f>
        <v>#VALUE!</v>
      </c>
      <c r="HE23" t="e">
        <f>AND(OnDemandVsReservedOverview!G69,"AAAAAH9fXtQ=")</f>
        <v>#VALUE!</v>
      </c>
      <c r="HF23">
        <f>IF(OnDemandVsReservedOverview!70:70,"AAAAAH9fXtU=",0)</f>
        <v>0</v>
      </c>
      <c r="HG23" t="e">
        <f>AND(OnDemandVsReservedOverview!A70,"AAAAAH9fXtY=")</f>
        <v>#VALUE!</v>
      </c>
      <c r="HH23" t="e">
        <f>AND(OnDemandVsReservedOverview!B70,"AAAAAH9fXtc=")</f>
        <v>#VALUE!</v>
      </c>
      <c r="HI23" t="e">
        <f>AND(OnDemandVsReservedOverview!C70,"AAAAAH9fXtg=")</f>
        <v>#VALUE!</v>
      </c>
      <c r="HJ23" t="e">
        <f>AND(OnDemandVsReservedOverview!D70,"AAAAAH9fXtk=")</f>
        <v>#VALUE!</v>
      </c>
      <c r="HK23" t="e">
        <f>AND(OnDemandVsReservedOverview!E70,"AAAAAH9fXto=")</f>
        <v>#VALUE!</v>
      </c>
      <c r="HL23" t="e">
        <f>AND(OnDemandVsReservedOverview!F70,"AAAAAH9fXts=")</f>
        <v>#VALUE!</v>
      </c>
      <c r="HM23" t="e">
        <f>AND(OnDemandVsReservedOverview!G70,"AAAAAH9fXtw=")</f>
        <v>#VALUE!</v>
      </c>
      <c r="HN23">
        <f>IF(OnDemandVsReservedOverview!71:71,"AAAAAH9fXt0=",0)</f>
        <v>0</v>
      </c>
      <c r="HO23" t="e">
        <f>AND(OnDemandVsReservedOverview!A71,"AAAAAH9fXt4=")</f>
        <v>#VALUE!</v>
      </c>
      <c r="HP23" t="e">
        <f>AND(OnDemandVsReservedOverview!B71,"AAAAAH9fXt8=")</f>
        <v>#VALUE!</v>
      </c>
      <c r="HQ23" t="e">
        <f>AND(OnDemandVsReservedOverview!C71,"AAAAAH9fXuA=")</f>
        <v>#VALUE!</v>
      </c>
      <c r="HR23" t="e">
        <f>AND(OnDemandVsReservedOverview!D71,"AAAAAH9fXuE=")</f>
        <v>#VALUE!</v>
      </c>
      <c r="HS23" t="e">
        <f>AND(OnDemandVsReservedOverview!E71,"AAAAAH9fXuI=")</f>
        <v>#VALUE!</v>
      </c>
      <c r="HT23" t="e">
        <f>AND(OnDemandVsReservedOverview!F71,"AAAAAH9fXuM=")</f>
        <v>#VALUE!</v>
      </c>
      <c r="HU23" t="e">
        <f>AND(OnDemandVsReservedOverview!G71,"AAAAAH9fXuQ=")</f>
        <v>#VALUE!</v>
      </c>
      <c r="HV23">
        <f>IF(OnDemandVsReservedOverview!72:72,"AAAAAH9fXuU=",0)</f>
        <v>0</v>
      </c>
      <c r="HW23" t="e">
        <f>AND(OnDemandVsReservedOverview!A72,"AAAAAH9fXuY=")</f>
        <v>#VALUE!</v>
      </c>
      <c r="HX23" t="e">
        <f>AND(OnDemandVsReservedOverview!B72,"AAAAAH9fXuc=")</f>
        <v>#VALUE!</v>
      </c>
      <c r="HY23" t="e">
        <f>AND(OnDemandVsReservedOverview!C72,"AAAAAH9fXug=")</f>
        <v>#VALUE!</v>
      </c>
      <c r="HZ23" t="e">
        <f>AND(OnDemandVsReservedOverview!D72,"AAAAAH9fXuk=")</f>
        <v>#VALUE!</v>
      </c>
      <c r="IA23" t="e">
        <f>AND(OnDemandVsReservedOverview!E72,"AAAAAH9fXuo=")</f>
        <v>#VALUE!</v>
      </c>
      <c r="IB23" t="e">
        <f>AND(OnDemandVsReservedOverview!F72,"AAAAAH9fXus=")</f>
        <v>#VALUE!</v>
      </c>
      <c r="IC23" t="e">
        <f>AND(OnDemandVsReservedOverview!G72,"AAAAAH9fXuw=")</f>
        <v>#VALUE!</v>
      </c>
      <c r="ID23">
        <f>IF(OnDemandVsReservedOverview!73:73,"AAAAAH9fXu0=",0)</f>
        <v>0</v>
      </c>
      <c r="IE23" t="e">
        <f>AND(OnDemandVsReservedOverview!A73,"AAAAAH9fXu4=")</f>
        <v>#VALUE!</v>
      </c>
      <c r="IF23" t="e">
        <f>AND(OnDemandVsReservedOverview!B73,"AAAAAH9fXu8=")</f>
        <v>#VALUE!</v>
      </c>
      <c r="IG23" t="e">
        <f>AND(OnDemandVsReservedOverview!C73,"AAAAAH9fXvA=")</f>
        <v>#VALUE!</v>
      </c>
      <c r="IH23" t="e">
        <f>AND(OnDemandVsReservedOverview!D73,"AAAAAH9fXvE=")</f>
        <v>#VALUE!</v>
      </c>
      <c r="II23" t="e">
        <f>AND(OnDemandVsReservedOverview!E73,"AAAAAH9fXvI=")</f>
        <v>#VALUE!</v>
      </c>
      <c r="IJ23" t="e">
        <f>AND(OnDemandVsReservedOverview!F73,"AAAAAH9fXvM=")</f>
        <v>#VALUE!</v>
      </c>
      <c r="IK23" t="e">
        <f>AND(OnDemandVsReservedOverview!G73,"AAAAAH9fXvQ=")</f>
        <v>#VALUE!</v>
      </c>
      <c r="IL23">
        <f>IF(OnDemandVsReservedOverview!74:74,"AAAAAH9fXvU=",0)</f>
        <v>0</v>
      </c>
      <c r="IM23" t="e">
        <f>AND(OnDemandVsReservedOverview!A74,"AAAAAH9fXvY=")</f>
        <v>#VALUE!</v>
      </c>
      <c r="IN23" t="e">
        <f>AND(OnDemandVsReservedOverview!B74,"AAAAAH9fXvc=")</f>
        <v>#VALUE!</v>
      </c>
      <c r="IO23" t="e">
        <f>AND(OnDemandVsReservedOverview!C74,"AAAAAH9fXvg=")</f>
        <v>#VALUE!</v>
      </c>
      <c r="IP23" t="e">
        <f>AND(OnDemandVsReservedOverview!D74,"AAAAAH9fXvk=")</f>
        <v>#VALUE!</v>
      </c>
      <c r="IQ23" t="e">
        <f>AND(OnDemandVsReservedOverview!E74,"AAAAAH9fXvo=")</f>
        <v>#VALUE!</v>
      </c>
      <c r="IR23" t="e">
        <f>AND(OnDemandVsReservedOverview!F74,"AAAAAH9fXvs=")</f>
        <v>#VALUE!</v>
      </c>
      <c r="IS23" t="e">
        <f>AND(OnDemandVsReservedOverview!G74,"AAAAAH9fXvw=")</f>
        <v>#VALUE!</v>
      </c>
      <c r="IT23">
        <f>IF(OnDemandVsReservedOverview!75:75,"AAAAAH9fXv0=",0)</f>
        <v>0</v>
      </c>
      <c r="IU23" t="e">
        <f>AND(OnDemandVsReservedOverview!A75,"AAAAAH9fXv4=")</f>
        <v>#VALUE!</v>
      </c>
      <c r="IV23" t="e">
        <f>AND(OnDemandVsReservedOverview!B75,"AAAAAH9fXv8=")</f>
        <v>#VALUE!</v>
      </c>
    </row>
    <row r="24" spans="1:256" x14ac:dyDescent="0.25">
      <c r="A24" t="e">
        <f>AND(OnDemandVsReservedOverview!C75,"AAAAAHe79QA=")</f>
        <v>#VALUE!</v>
      </c>
      <c r="B24" t="e">
        <f>AND(OnDemandVsReservedOverview!D75,"AAAAAHe79QE=")</f>
        <v>#VALUE!</v>
      </c>
      <c r="C24" t="e">
        <f>AND(OnDemandVsReservedOverview!E75,"AAAAAHe79QI=")</f>
        <v>#VALUE!</v>
      </c>
      <c r="D24" t="e">
        <f>AND(OnDemandVsReservedOverview!F75,"AAAAAHe79QM=")</f>
        <v>#VALUE!</v>
      </c>
      <c r="E24" t="e">
        <f>AND(OnDemandVsReservedOverview!G75,"AAAAAHe79QQ=")</f>
        <v>#VALUE!</v>
      </c>
      <c r="F24" t="e">
        <f>IF(OnDemandVsReservedOverview!76:76,"AAAAAHe79QU=",0)</f>
        <v>#VALUE!</v>
      </c>
      <c r="G24" t="e">
        <f>AND(OnDemandVsReservedOverview!A76,"AAAAAHe79QY=")</f>
        <v>#VALUE!</v>
      </c>
      <c r="H24" t="e">
        <f>AND(OnDemandVsReservedOverview!B76,"AAAAAHe79Qc=")</f>
        <v>#VALUE!</v>
      </c>
      <c r="I24" t="e">
        <f>AND(OnDemandVsReservedOverview!C76,"AAAAAHe79Qg=")</f>
        <v>#VALUE!</v>
      </c>
      <c r="J24" t="e">
        <f>AND(OnDemandVsReservedOverview!D76,"AAAAAHe79Qk=")</f>
        <v>#VALUE!</v>
      </c>
      <c r="K24" t="e">
        <f>AND(OnDemandVsReservedOverview!E76,"AAAAAHe79Qo=")</f>
        <v>#VALUE!</v>
      </c>
      <c r="L24" t="e">
        <f>AND(OnDemandVsReservedOverview!F76,"AAAAAHe79Qs=")</f>
        <v>#VALUE!</v>
      </c>
      <c r="M24" t="e">
        <f>AND(OnDemandVsReservedOverview!G76,"AAAAAHe79Qw=")</f>
        <v>#VALUE!</v>
      </c>
      <c r="N24">
        <f>IF(OnDemandVsReservedOverview!77:77,"AAAAAHe79Q0=",0)</f>
        <v>0</v>
      </c>
      <c r="O24" t="e">
        <f>AND(OnDemandVsReservedOverview!A77,"AAAAAHe79Q4=")</f>
        <v>#VALUE!</v>
      </c>
      <c r="P24" t="e">
        <f>AND(OnDemandVsReservedOverview!B77,"AAAAAHe79Q8=")</f>
        <v>#VALUE!</v>
      </c>
      <c r="Q24" t="e">
        <f>AND(OnDemandVsReservedOverview!C77,"AAAAAHe79RA=")</f>
        <v>#VALUE!</v>
      </c>
      <c r="R24" t="e">
        <f>AND(OnDemandVsReservedOverview!D77,"AAAAAHe79RE=")</f>
        <v>#VALUE!</v>
      </c>
      <c r="S24" t="e">
        <f>AND(OnDemandVsReservedOverview!E77,"AAAAAHe79RI=")</f>
        <v>#VALUE!</v>
      </c>
      <c r="T24" t="e">
        <f>AND(OnDemandVsReservedOverview!F77,"AAAAAHe79RM=")</f>
        <v>#VALUE!</v>
      </c>
      <c r="U24" t="e">
        <f>AND(OnDemandVsReservedOverview!G77,"AAAAAHe79RQ=")</f>
        <v>#VALUE!</v>
      </c>
      <c r="V24">
        <f>IF(OnDemandVsReservedOverview!78:78,"AAAAAHe79RU=",0)</f>
        <v>0</v>
      </c>
      <c r="W24" t="e">
        <f>AND(OnDemandVsReservedOverview!A78,"AAAAAHe79RY=")</f>
        <v>#VALUE!</v>
      </c>
      <c r="X24" t="e">
        <f>AND(OnDemandVsReservedOverview!B78,"AAAAAHe79Rc=")</f>
        <v>#VALUE!</v>
      </c>
      <c r="Y24" t="e">
        <f>AND(OnDemandVsReservedOverview!C78,"AAAAAHe79Rg=")</f>
        <v>#VALUE!</v>
      </c>
      <c r="Z24" t="e">
        <f>AND(OnDemandVsReservedOverview!D78,"AAAAAHe79Rk=")</f>
        <v>#VALUE!</v>
      </c>
      <c r="AA24" t="e">
        <f>AND(OnDemandVsReservedOverview!E78,"AAAAAHe79Ro=")</f>
        <v>#VALUE!</v>
      </c>
      <c r="AB24" t="e">
        <f>AND(OnDemandVsReservedOverview!F78,"AAAAAHe79Rs=")</f>
        <v>#VALUE!</v>
      </c>
      <c r="AC24" t="e">
        <f>AND(OnDemandVsReservedOverview!G78,"AAAAAHe79Rw=")</f>
        <v>#VALUE!</v>
      </c>
      <c r="AD24">
        <f>IF(OnDemandVsReservedOverview!79:79,"AAAAAHe79R0=",0)</f>
        <v>0</v>
      </c>
      <c r="AE24" t="e">
        <f>AND(OnDemandVsReservedOverview!A79,"AAAAAHe79R4=")</f>
        <v>#VALUE!</v>
      </c>
      <c r="AF24" t="e">
        <f>AND(OnDemandVsReservedOverview!B79,"AAAAAHe79R8=")</f>
        <v>#VALUE!</v>
      </c>
      <c r="AG24" t="e">
        <f>AND(OnDemandVsReservedOverview!C79,"AAAAAHe79SA=")</f>
        <v>#VALUE!</v>
      </c>
      <c r="AH24" t="e">
        <f>AND(OnDemandVsReservedOverview!D79,"AAAAAHe79SE=")</f>
        <v>#VALUE!</v>
      </c>
      <c r="AI24" t="e">
        <f>AND(OnDemandVsReservedOverview!E79,"AAAAAHe79SI=")</f>
        <v>#VALUE!</v>
      </c>
      <c r="AJ24" t="e">
        <f>AND(OnDemandVsReservedOverview!F79,"AAAAAHe79SM=")</f>
        <v>#VALUE!</v>
      </c>
      <c r="AK24" t="e">
        <f>AND(OnDemandVsReservedOverview!G79,"AAAAAHe79SQ=")</f>
        <v>#VALUE!</v>
      </c>
      <c r="AL24">
        <f>IF(OnDemandVsReservedOverview!80:80,"AAAAAHe79SU=",0)</f>
        <v>0</v>
      </c>
      <c r="AM24" t="e">
        <f>AND(OnDemandVsReservedOverview!A80,"AAAAAHe79SY=")</f>
        <v>#VALUE!</v>
      </c>
      <c r="AN24" t="e">
        <f>AND(OnDemandVsReservedOverview!B80,"AAAAAHe79Sc=")</f>
        <v>#VALUE!</v>
      </c>
      <c r="AO24" t="e">
        <f>AND(OnDemandVsReservedOverview!C80,"AAAAAHe79Sg=")</f>
        <v>#VALUE!</v>
      </c>
      <c r="AP24" t="e">
        <f>AND(OnDemandVsReservedOverview!D80,"AAAAAHe79Sk=")</f>
        <v>#VALUE!</v>
      </c>
      <c r="AQ24" t="e">
        <f>AND(OnDemandVsReservedOverview!E80,"AAAAAHe79So=")</f>
        <v>#VALUE!</v>
      </c>
      <c r="AR24" t="e">
        <f>AND(OnDemandVsReservedOverview!F80,"AAAAAHe79Ss=")</f>
        <v>#VALUE!</v>
      </c>
      <c r="AS24" t="e">
        <f>AND(OnDemandVsReservedOverview!G80,"AAAAAHe79Sw=")</f>
        <v>#VALUE!</v>
      </c>
      <c r="AT24">
        <f>IF(OnDemandVsReservedOverview!81:81,"AAAAAHe79S0=",0)</f>
        <v>0</v>
      </c>
      <c r="AU24" t="e">
        <f>AND(OnDemandVsReservedOverview!A81,"AAAAAHe79S4=")</f>
        <v>#VALUE!</v>
      </c>
      <c r="AV24" t="e">
        <f>AND(OnDemandVsReservedOverview!B81,"AAAAAHe79S8=")</f>
        <v>#VALUE!</v>
      </c>
      <c r="AW24" t="e">
        <f>AND(OnDemandVsReservedOverview!C81,"AAAAAHe79TA=")</f>
        <v>#VALUE!</v>
      </c>
      <c r="AX24" t="e">
        <f>AND(OnDemandVsReservedOverview!D81,"AAAAAHe79TE=")</f>
        <v>#VALUE!</v>
      </c>
      <c r="AY24" t="e">
        <f>AND(OnDemandVsReservedOverview!E81,"AAAAAHe79TI=")</f>
        <v>#VALUE!</v>
      </c>
      <c r="AZ24" t="e">
        <f>AND(OnDemandVsReservedOverview!F81,"AAAAAHe79TM=")</f>
        <v>#VALUE!</v>
      </c>
      <c r="BA24" t="e">
        <f>AND(OnDemandVsReservedOverview!G81,"AAAAAHe79TQ=")</f>
        <v>#VALUE!</v>
      </c>
      <c r="BB24">
        <f>IF(OnDemandVsReservedOverview!82:82,"AAAAAHe79TU=",0)</f>
        <v>0</v>
      </c>
      <c r="BC24" t="e">
        <f>AND(OnDemandVsReservedOverview!A82,"AAAAAHe79TY=")</f>
        <v>#VALUE!</v>
      </c>
      <c r="BD24" t="e">
        <f>AND(OnDemandVsReservedOverview!B82,"AAAAAHe79Tc=")</f>
        <v>#VALUE!</v>
      </c>
      <c r="BE24" t="e">
        <f>AND(OnDemandVsReservedOverview!C82,"AAAAAHe79Tg=")</f>
        <v>#VALUE!</v>
      </c>
      <c r="BF24" t="e">
        <f>AND(OnDemandVsReservedOverview!D82,"AAAAAHe79Tk=")</f>
        <v>#VALUE!</v>
      </c>
      <c r="BG24" t="e">
        <f>AND(OnDemandVsReservedOverview!E82,"AAAAAHe79To=")</f>
        <v>#VALUE!</v>
      </c>
      <c r="BH24" t="e">
        <f>AND(OnDemandVsReservedOverview!F82,"AAAAAHe79Ts=")</f>
        <v>#VALUE!</v>
      </c>
      <c r="BI24" t="e">
        <f>AND(OnDemandVsReservedOverview!G82,"AAAAAHe79Tw=")</f>
        <v>#VALUE!</v>
      </c>
      <c r="BJ24">
        <f>IF(OnDemandVsReservedOverview!83:83,"AAAAAHe79T0=",0)</f>
        <v>0</v>
      </c>
      <c r="BK24" t="e">
        <f>AND(OnDemandVsReservedOverview!A83,"AAAAAHe79T4=")</f>
        <v>#VALUE!</v>
      </c>
      <c r="BL24" t="e">
        <f>AND(OnDemandVsReservedOverview!B83,"AAAAAHe79T8=")</f>
        <v>#VALUE!</v>
      </c>
      <c r="BM24" t="e">
        <f>AND(OnDemandVsReservedOverview!C83,"AAAAAHe79UA=")</f>
        <v>#VALUE!</v>
      </c>
      <c r="BN24" t="e">
        <f>AND(OnDemandVsReservedOverview!D83,"AAAAAHe79UE=")</f>
        <v>#VALUE!</v>
      </c>
      <c r="BO24" t="e">
        <f>AND(OnDemandVsReservedOverview!E83,"AAAAAHe79UI=")</f>
        <v>#VALUE!</v>
      </c>
      <c r="BP24" t="e">
        <f>AND(OnDemandVsReservedOverview!F83,"AAAAAHe79UM=")</f>
        <v>#VALUE!</v>
      </c>
      <c r="BQ24" t="e">
        <f>AND(OnDemandVsReservedOverview!G83,"AAAAAHe79UQ=")</f>
        <v>#VALUE!</v>
      </c>
      <c r="BR24">
        <f>IF(OnDemandVsReservedOverview!84:84,"AAAAAHe79UU=",0)</f>
        <v>0</v>
      </c>
      <c r="BS24" t="e">
        <f>AND(OnDemandVsReservedOverview!A84,"AAAAAHe79UY=")</f>
        <v>#VALUE!</v>
      </c>
      <c r="BT24" t="e">
        <f>AND(OnDemandVsReservedOverview!B84,"AAAAAHe79Uc=")</f>
        <v>#VALUE!</v>
      </c>
      <c r="BU24" t="e">
        <f>AND(OnDemandVsReservedOverview!C84,"AAAAAHe79Ug=")</f>
        <v>#VALUE!</v>
      </c>
      <c r="BV24" t="e">
        <f>AND(OnDemandVsReservedOverview!D84,"AAAAAHe79Uk=")</f>
        <v>#VALUE!</v>
      </c>
      <c r="BW24" t="e">
        <f>AND(OnDemandVsReservedOverview!E84,"AAAAAHe79Uo=")</f>
        <v>#VALUE!</v>
      </c>
      <c r="BX24" t="e">
        <f>AND(OnDemandVsReservedOverview!F84,"AAAAAHe79Us=")</f>
        <v>#VALUE!</v>
      </c>
      <c r="BY24" t="e">
        <f>AND(OnDemandVsReservedOverview!G84,"AAAAAHe79Uw=")</f>
        <v>#VALUE!</v>
      </c>
      <c r="BZ24">
        <f>IF(OnDemandVsReservedOverview!85:85,"AAAAAHe79U0=",0)</f>
        <v>0</v>
      </c>
      <c r="CA24" t="e">
        <f>AND(OnDemandVsReservedOverview!A85,"AAAAAHe79U4=")</f>
        <v>#VALUE!</v>
      </c>
      <c r="CB24" t="e">
        <f>AND(OnDemandVsReservedOverview!B85,"AAAAAHe79U8=")</f>
        <v>#VALUE!</v>
      </c>
      <c r="CC24" t="e">
        <f>AND(OnDemandVsReservedOverview!C85,"AAAAAHe79VA=")</f>
        <v>#VALUE!</v>
      </c>
      <c r="CD24" t="e">
        <f>AND(OnDemandVsReservedOverview!D85,"AAAAAHe79VE=")</f>
        <v>#VALUE!</v>
      </c>
      <c r="CE24" t="e">
        <f>AND(OnDemandVsReservedOverview!E85,"AAAAAHe79VI=")</f>
        <v>#VALUE!</v>
      </c>
      <c r="CF24" t="e">
        <f>AND(OnDemandVsReservedOverview!F85,"AAAAAHe79VM=")</f>
        <v>#VALUE!</v>
      </c>
      <c r="CG24" t="e">
        <f>AND(OnDemandVsReservedOverview!G85,"AAAAAHe79VQ=")</f>
        <v>#VALUE!</v>
      </c>
      <c r="CH24">
        <f>IF(OnDemandVsReservedOverview!86:86,"AAAAAHe79VU=",0)</f>
        <v>0</v>
      </c>
      <c r="CI24" t="e">
        <f>AND(OnDemandVsReservedOverview!A86,"AAAAAHe79VY=")</f>
        <v>#VALUE!</v>
      </c>
      <c r="CJ24" t="e">
        <f>AND(OnDemandVsReservedOverview!B86,"AAAAAHe79Vc=")</f>
        <v>#VALUE!</v>
      </c>
      <c r="CK24" t="e">
        <f>AND(OnDemandVsReservedOverview!C86,"AAAAAHe79Vg=")</f>
        <v>#VALUE!</v>
      </c>
      <c r="CL24" t="e">
        <f>AND(OnDemandVsReservedOverview!D86,"AAAAAHe79Vk=")</f>
        <v>#VALUE!</v>
      </c>
      <c r="CM24" t="e">
        <f>AND(OnDemandVsReservedOverview!E86,"AAAAAHe79Vo=")</f>
        <v>#VALUE!</v>
      </c>
      <c r="CN24" t="e">
        <f>AND(OnDemandVsReservedOverview!F86,"AAAAAHe79Vs=")</f>
        <v>#VALUE!</v>
      </c>
      <c r="CO24" t="e">
        <f>AND(OnDemandVsReservedOverview!G86,"AAAAAHe79Vw=")</f>
        <v>#VALUE!</v>
      </c>
      <c r="CP24">
        <f>IF(OnDemandVsReservedOverview!87:87,"AAAAAHe79V0=",0)</f>
        <v>0</v>
      </c>
      <c r="CQ24" t="e">
        <f>AND(OnDemandVsReservedOverview!A87,"AAAAAHe79V4=")</f>
        <v>#VALUE!</v>
      </c>
      <c r="CR24" t="e">
        <f>AND(OnDemandVsReservedOverview!B87,"AAAAAHe79V8=")</f>
        <v>#VALUE!</v>
      </c>
      <c r="CS24" t="e">
        <f>AND(OnDemandVsReservedOverview!C87,"AAAAAHe79WA=")</f>
        <v>#VALUE!</v>
      </c>
      <c r="CT24" t="e">
        <f>AND(OnDemandVsReservedOverview!D87,"AAAAAHe79WE=")</f>
        <v>#VALUE!</v>
      </c>
      <c r="CU24" t="e">
        <f>AND(OnDemandVsReservedOverview!E87,"AAAAAHe79WI=")</f>
        <v>#VALUE!</v>
      </c>
      <c r="CV24" t="e">
        <f>AND(OnDemandVsReservedOverview!F87,"AAAAAHe79WM=")</f>
        <v>#VALUE!</v>
      </c>
      <c r="CW24" t="e">
        <f>AND(OnDemandVsReservedOverview!G87,"AAAAAHe79WQ=")</f>
        <v>#VALUE!</v>
      </c>
      <c r="CX24">
        <f>IF(OnDemandVsReservedOverview!88:88,"AAAAAHe79WU=",0)</f>
        <v>0</v>
      </c>
      <c r="CY24" t="e">
        <f>AND(OnDemandVsReservedOverview!A88,"AAAAAHe79WY=")</f>
        <v>#VALUE!</v>
      </c>
      <c r="CZ24" t="e">
        <f>AND(OnDemandVsReservedOverview!B88,"AAAAAHe79Wc=")</f>
        <v>#VALUE!</v>
      </c>
      <c r="DA24" t="e">
        <f>AND(OnDemandVsReservedOverview!C88,"AAAAAHe79Wg=")</f>
        <v>#VALUE!</v>
      </c>
      <c r="DB24" t="e">
        <f>AND(OnDemandVsReservedOverview!D88,"AAAAAHe79Wk=")</f>
        <v>#VALUE!</v>
      </c>
      <c r="DC24" t="e">
        <f>AND(OnDemandVsReservedOverview!E88,"AAAAAHe79Wo=")</f>
        <v>#VALUE!</v>
      </c>
      <c r="DD24" t="e">
        <f>AND(OnDemandVsReservedOverview!F88,"AAAAAHe79Ws=")</f>
        <v>#VALUE!</v>
      </c>
      <c r="DE24" t="e">
        <f>AND(OnDemandVsReservedOverview!G88,"AAAAAHe79Ww=")</f>
        <v>#VALUE!</v>
      </c>
      <c r="DF24">
        <f>IF(OnDemandVsReservedOverview!89:89,"AAAAAHe79W0=",0)</f>
        <v>0</v>
      </c>
      <c r="DG24" t="e">
        <f>AND(OnDemandVsReservedOverview!A89,"AAAAAHe79W4=")</f>
        <v>#VALUE!</v>
      </c>
      <c r="DH24" t="e">
        <f>AND(OnDemandVsReservedOverview!B89,"AAAAAHe79W8=")</f>
        <v>#VALUE!</v>
      </c>
      <c r="DI24" t="e">
        <f>AND(OnDemandVsReservedOverview!C89,"AAAAAHe79XA=")</f>
        <v>#VALUE!</v>
      </c>
      <c r="DJ24" t="e">
        <f>AND(OnDemandVsReservedOverview!D89,"AAAAAHe79XE=")</f>
        <v>#VALUE!</v>
      </c>
      <c r="DK24" t="e">
        <f>AND(OnDemandVsReservedOverview!E89,"AAAAAHe79XI=")</f>
        <v>#VALUE!</v>
      </c>
      <c r="DL24" t="e">
        <f>AND(OnDemandVsReservedOverview!F89,"AAAAAHe79XM=")</f>
        <v>#VALUE!</v>
      </c>
      <c r="DM24" t="e">
        <f>AND(OnDemandVsReservedOverview!G89,"AAAAAHe79XQ=")</f>
        <v>#VALUE!</v>
      </c>
      <c r="DN24">
        <f>IF(OnDemandVsReservedOverview!90:90,"AAAAAHe79XU=",0)</f>
        <v>0</v>
      </c>
      <c r="DO24" t="e">
        <f>AND(OnDemandVsReservedOverview!A90,"AAAAAHe79XY=")</f>
        <v>#VALUE!</v>
      </c>
      <c r="DP24" t="e">
        <f>AND(OnDemandVsReservedOverview!B90,"AAAAAHe79Xc=")</f>
        <v>#VALUE!</v>
      </c>
      <c r="DQ24" t="e">
        <f>AND(OnDemandVsReservedOverview!C90,"AAAAAHe79Xg=")</f>
        <v>#VALUE!</v>
      </c>
      <c r="DR24" t="e">
        <f>AND(OnDemandVsReservedOverview!D90,"AAAAAHe79Xk=")</f>
        <v>#VALUE!</v>
      </c>
      <c r="DS24" t="e">
        <f>AND(OnDemandVsReservedOverview!E90,"AAAAAHe79Xo=")</f>
        <v>#VALUE!</v>
      </c>
      <c r="DT24" t="e">
        <f>AND(OnDemandVsReservedOverview!F90,"AAAAAHe79Xs=")</f>
        <v>#VALUE!</v>
      </c>
      <c r="DU24" t="e">
        <f>AND(OnDemandVsReservedOverview!G90,"AAAAAHe79Xw=")</f>
        <v>#VALUE!</v>
      </c>
      <c r="DV24">
        <f>IF(OnDemandVsReservedOverview!91:91,"AAAAAHe79X0=",0)</f>
        <v>0</v>
      </c>
      <c r="DW24" t="e">
        <f>AND(OnDemandVsReservedOverview!A91,"AAAAAHe79X4=")</f>
        <v>#VALUE!</v>
      </c>
      <c r="DX24" t="e">
        <f>AND(OnDemandVsReservedOverview!B91,"AAAAAHe79X8=")</f>
        <v>#VALUE!</v>
      </c>
      <c r="DY24" t="e">
        <f>AND(OnDemandVsReservedOverview!C91,"AAAAAHe79YA=")</f>
        <v>#VALUE!</v>
      </c>
      <c r="DZ24" t="e">
        <f>AND(OnDemandVsReservedOverview!D91,"AAAAAHe79YE=")</f>
        <v>#VALUE!</v>
      </c>
      <c r="EA24" t="e">
        <f>AND(OnDemandVsReservedOverview!E91,"AAAAAHe79YI=")</f>
        <v>#VALUE!</v>
      </c>
      <c r="EB24" t="e">
        <f>AND(OnDemandVsReservedOverview!F91,"AAAAAHe79YM=")</f>
        <v>#VALUE!</v>
      </c>
      <c r="EC24" t="e">
        <f>AND(OnDemandVsReservedOverview!G91,"AAAAAHe79YQ=")</f>
        <v>#VALUE!</v>
      </c>
      <c r="ED24">
        <f>IF(OnDemandVsReservedOverview!92:92,"AAAAAHe79YU=",0)</f>
        <v>0</v>
      </c>
      <c r="EE24" t="e">
        <f>AND(OnDemandVsReservedOverview!A92,"AAAAAHe79YY=")</f>
        <v>#VALUE!</v>
      </c>
      <c r="EF24" t="e">
        <f>AND(OnDemandVsReservedOverview!B92,"AAAAAHe79Yc=")</f>
        <v>#VALUE!</v>
      </c>
      <c r="EG24" t="e">
        <f>AND(OnDemandVsReservedOverview!C92,"AAAAAHe79Yg=")</f>
        <v>#VALUE!</v>
      </c>
      <c r="EH24" t="e">
        <f>AND(OnDemandVsReservedOverview!D92,"AAAAAHe79Yk=")</f>
        <v>#VALUE!</v>
      </c>
      <c r="EI24" t="e">
        <f>AND(OnDemandVsReservedOverview!E92,"AAAAAHe79Yo=")</f>
        <v>#VALUE!</v>
      </c>
      <c r="EJ24" t="e">
        <f>AND(OnDemandVsReservedOverview!F92,"AAAAAHe79Ys=")</f>
        <v>#VALUE!</v>
      </c>
      <c r="EK24" t="e">
        <f>AND(OnDemandVsReservedOverview!G92,"AAAAAHe79Yw=")</f>
        <v>#VALUE!</v>
      </c>
      <c r="EL24">
        <f>IF(OnDemandVsReservedOverview!93:93,"AAAAAHe79Y0=",0)</f>
        <v>0</v>
      </c>
      <c r="EM24" t="e">
        <f>AND(OnDemandVsReservedOverview!A93,"AAAAAHe79Y4=")</f>
        <v>#VALUE!</v>
      </c>
      <c r="EN24" t="e">
        <f>AND(OnDemandVsReservedOverview!B93,"AAAAAHe79Y8=")</f>
        <v>#VALUE!</v>
      </c>
      <c r="EO24" t="e">
        <f>AND(OnDemandVsReservedOverview!C93,"AAAAAHe79ZA=")</f>
        <v>#VALUE!</v>
      </c>
      <c r="EP24" t="e">
        <f>AND(OnDemandVsReservedOverview!D93,"AAAAAHe79ZE=")</f>
        <v>#VALUE!</v>
      </c>
      <c r="EQ24" t="e">
        <f>AND(OnDemandVsReservedOverview!E93,"AAAAAHe79ZI=")</f>
        <v>#VALUE!</v>
      </c>
      <c r="ER24" t="e">
        <f>AND(OnDemandVsReservedOverview!F93,"AAAAAHe79ZM=")</f>
        <v>#VALUE!</v>
      </c>
      <c r="ES24" t="e">
        <f>AND(OnDemandVsReservedOverview!G93,"AAAAAHe79ZQ=")</f>
        <v>#VALUE!</v>
      </c>
      <c r="ET24">
        <f>IF(OnDemandVsReservedOverview!94:94,"AAAAAHe79ZU=",0)</f>
        <v>0</v>
      </c>
      <c r="EU24" t="e">
        <f>AND(OnDemandVsReservedOverview!A94,"AAAAAHe79ZY=")</f>
        <v>#VALUE!</v>
      </c>
      <c r="EV24" t="e">
        <f>AND(OnDemandVsReservedOverview!B94,"AAAAAHe79Zc=")</f>
        <v>#VALUE!</v>
      </c>
      <c r="EW24" t="e">
        <f>AND(OnDemandVsReservedOverview!C94,"AAAAAHe79Zg=")</f>
        <v>#VALUE!</v>
      </c>
      <c r="EX24" t="e">
        <f>AND(OnDemandVsReservedOverview!D94,"AAAAAHe79Zk=")</f>
        <v>#VALUE!</v>
      </c>
      <c r="EY24" t="e">
        <f>AND(OnDemandVsReservedOverview!E94,"AAAAAHe79Zo=")</f>
        <v>#VALUE!</v>
      </c>
      <c r="EZ24" t="e">
        <f>AND(OnDemandVsReservedOverview!F94,"AAAAAHe79Zs=")</f>
        <v>#VALUE!</v>
      </c>
      <c r="FA24" t="e">
        <f>AND(OnDemandVsReservedOverview!G94,"AAAAAHe79Zw=")</f>
        <v>#VALUE!</v>
      </c>
      <c r="FB24">
        <f>IF(OnDemandVsReservedOverview!95:95,"AAAAAHe79Z0=",0)</f>
        <v>0</v>
      </c>
      <c r="FC24" t="e">
        <f>AND(OnDemandVsReservedOverview!A95,"AAAAAHe79Z4=")</f>
        <v>#VALUE!</v>
      </c>
      <c r="FD24" t="e">
        <f>AND(OnDemandVsReservedOverview!B95,"AAAAAHe79Z8=")</f>
        <v>#VALUE!</v>
      </c>
      <c r="FE24" t="e">
        <f>AND(OnDemandVsReservedOverview!C95,"AAAAAHe79aA=")</f>
        <v>#VALUE!</v>
      </c>
      <c r="FF24" t="e">
        <f>AND(OnDemandVsReservedOverview!D95,"AAAAAHe79aE=")</f>
        <v>#VALUE!</v>
      </c>
      <c r="FG24" t="e">
        <f>AND(OnDemandVsReservedOverview!E95,"AAAAAHe79aI=")</f>
        <v>#VALUE!</v>
      </c>
      <c r="FH24" t="e">
        <f>AND(OnDemandVsReservedOverview!F95,"AAAAAHe79aM=")</f>
        <v>#VALUE!</v>
      </c>
      <c r="FI24" t="e">
        <f>AND(OnDemandVsReservedOverview!G95,"AAAAAHe79aQ=")</f>
        <v>#VALUE!</v>
      </c>
      <c r="FJ24">
        <f>IF(OnDemandVsReservedOverview!96:96,"AAAAAHe79aU=",0)</f>
        <v>0</v>
      </c>
      <c r="FK24" t="e">
        <f>AND(OnDemandVsReservedOverview!A96,"AAAAAHe79aY=")</f>
        <v>#VALUE!</v>
      </c>
      <c r="FL24" t="e">
        <f>AND(OnDemandVsReservedOverview!B96,"AAAAAHe79ac=")</f>
        <v>#VALUE!</v>
      </c>
      <c r="FM24" t="e">
        <f>AND(OnDemandVsReservedOverview!C96,"AAAAAHe79ag=")</f>
        <v>#VALUE!</v>
      </c>
      <c r="FN24" t="e">
        <f>AND(OnDemandVsReservedOverview!D96,"AAAAAHe79ak=")</f>
        <v>#VALUE!</v>
      </c>
      <c r="FO24" t="e">
        <f>AND(OnDemandVsReservedOverview!E96,"AAAAAHe79ao=")</f>
        <v>#VALUE!</v>
      </c>
      <c r="FP24" t="e">
        <f>AND(OnDemandVsReservedOverview!F96,"AAAAAHe79as=")</f>
        <v>#VALUE!</v>
      </c>
      <c r="FQ24" t="e">
        <f>AND(OnDemandVsReservedOverview!G96,"AAAAAHe79aw=")</f>
        <v>#VALUE!</v>
      </c>
      <c r="FR24">
        <f>IF(OnDemandVsReservedOverview!97:97,"AAAAAHe79a0=",0)</f>
        <v>0</v>
      </c>
      <c r="FS24" t="e">
        <f>AND(OnDemandVsReservedOverview!A97,"AAAAAHe79a4=")</f>
        <v>#VALUE!</v>
      </c>
      <c r="FT24" t="e">
        <f>AND(OnDemandVsReservedOverview!B97,"AAAAAHe79a8=")</f>
        <v>#VALUE!</v>
      </c>
      <c r="FU24" t="e">
        <f>AND(OnDemandVsReservedOverview!C97,"AAAAAHe79bA=")</f>
        <v>#VALUE!</v>
      </c>
      <c r="FV24" t="e">
        <f>AND(OnDemandVsReservedOverview!D97,"AAAAAHe79bE=")</f>
        <v>#VALUE!</v>
      </c>
      <c r="FW24" t="e">
        <f>AND(OnDemandVsReservedOverview!E97,"AAAAAHe79bI=")</f>
        <v>#VALUE!</v>
      </c>
      <c r="FX24" t="e">
        <f>AND(OnDemandVsReservedOverview!F97,"AAAAAHe79bM=")</f>
        <v>#VALUE!</v>
      </c>
      <c r="FY24" t="e">
        <f>AND(OnDemandVsReservedOverview!G97,"AAAAAHe79bQ=")</f>
        <v>#VALUE!</v>
      </c>
      <c r="FZ24">
        <f>IF(OnDemandVsReservedOverview!98:98,"AAAAAHe79bU=",0)</f>
        <v>0</v>
      </c>
      <c r="GA24" t="e">
        <f>AND(OnDemandVsReservedOverview!A98,"AAAAAHe79bY=")</f>
        <v>#VALUE!</v>
      </c>
      <c r="GB24" t="e">
        <f>AND(OnDemandVsReservedOverview!B98,"AAAAAHe79bc=")</f>
        <v>#VALUE!</v>
      </c>
      <c r="GC24" t="e">
        <f>AND(OnDemandVsReservedOverview!C98,"AAAAAHe79bg=")</f>
        <v>#VALUE!</v>
      </c>
      <c r="GD24" t="e">
        <f>AND(OnDemandVsReservedOverview!D98,"AAAAAHe79bk=")</f>
        <v>#VALUE!</v>
      </c>
      <c r="GE24" t="e">
        <f>AND(OnDemandVsReservedOverview!E98,"AAAAAHe79bo=")</f>
        <v>#VALUE!</v>
      </c>
      <c r="GF24" t="e">
        <f>AND(OnDemandVsReservedOverview!F98,"AAAAAHe79bs=")</f>
        <v>#VALUE!</v>
      </c>
      <c r="GG24" t="e">
        <f>AND(OnDemandVsReservedOverview!G98,"AAAAAHe79bw=")</f>
        <v>#VALUE!</v>
      </c>
      <c r="GH24">
        <f>IF(OnDemandVsReservedOverview!99:99,"AAAAAHe79b0=",0)</f>
        <v>0</v>
      </c>
      <c r="GI24" t="e">
        <f>AND(OnDemandVsReservedOverview!A99,"AAAAAHe79b4=")</f>
        <v>#VALUE!</v>
      </c>
      <c r="GJ24" t="e">
        <f>AND(OnDemandVsReservedOverview!B99,"AAAAAHe79b8=")</f>
        <v>#VALUE!</v>
      </c>
      <c r="GK24" t="e">
        <f>AND(OnDemandVsReservedOverview!C99,"AAAAAHe79cA=")</f>
        <v>#VALUE!</v>
      </c>
      <c r="GL24" t="e">
        <f>AND(OnDemandVsReservedOverview!D99,"AAAAAHe79cE=")</f>
        <v>#VALUE!</v>
      </c>
      <c r="GM24" t="e">
        <f>AND(OnDemandVsReservedOverview!E99,"AAAAAHe79cI=")</f>
        <v>#VALUE!</v>
      </c>
      <c r="GN24" t="e">
        <f>AND(OnDemandVsReservedOverview!F99,"AAAAAHe79cM=")</f>
        <v>#VALUE!</v>
      </c>
      <c r="GO24" t="e">
        <f>AND(OnDemandVsReservedOverview!G99,"AAAAAHe79cQ=")</f>
        <v>#VALUE!</v>
      </c>
      <c r="GP24">
        <f>IF(OnDemandVsReservedOverview!100:100,"AAAAAHe79cU=",0)</f>
        <v>0</v>
      </c>
      <c r="GQ24" t="e">
        <f>AND(OnDemandVsReservedOverview!A100,"AAAAAHe79cY=")</f>
        <v>#VALUE!</v>
      </c>
      <c r="GR24" t="e">
        <f>AND(OnDemandVsReservedOverview!B100,"AAAAAHe79cc=")</f>
        <v>#VALUE!</v>
      </c>
      <c r="GS24" t="e">
        <f>AND(OnDemandVsReservedOverview!C100,"AAAAAHe79cg=")</f>
        <v>#VALUE!</v>
      </c>
      <c r="GT24" t="e">
        <f>AND(OnDemandVsReservedOverview!D100,"AAAAAHe79ck=")</f>
        <v>#VALUE!</v>
      </c>
      <c r="GU24" t="e">
        <f>AND(OnDemandVsReservedOverview!E100,"AAAAAHe79co=")</f>
        <v>#VALUE!</v>
      </c>
      <c r="GV24" t="e">
        <f>AND(OnDemandVsReservedOverview!F100,"AAAAAHe79cs=")</f>
        <v>#VALUE!</v>
      </c>
      <c r="GW24" t="e">
        <f>AND(OnDemandVsReservedOverview!G100,"AAAAAHe79cw=")</f>
        <v>#VALUE!</v>
      </c>
      <c r="GX24">
        <f>IF(OnDemandVsReservedOverview!101:101,"AAAAAHe79c0=",0)</f>
        <v>0</v>
      </c>
      <c r="GY24" t="e">
        <f>AND(OnDemandVsReservedOverview!A101,"AAAAAHe79c4=")</f>
        <v>#VALUE!</v>
      </c>
      <c r="GZ24" t="e">
        <f>AND(OnDemandVsReservedOverview!B101,"AAAAAHe79c8=")</f>
        <v>#VALUE!</v>
      </c>
      <c r="HA24" t="e">
        <f>AND(OnDemandVsReservedOverview!C101,"AAAAAHe79dA=")</f>
        <v>#VALUE!</v>
      </c>
      <c r="HB24" t="e">
        <f>AND(OnDemandVsReservedOverview!D101,"AAAAAHe79dE=")</f>
        <v>#VALUE!</v>
      </c>
      <c r="HC24" t="e">
        <f>AND(OnDemandVsReservedOverview!E101,"AAAAAHe79dI=")</f>
        <v>#VALUE!</v>
      </c>
      <c r="HD24" t="e">
        <f>AND(OnDemandVsReservedOverview!F101,"AAAAAHe79dM=")</f>
        <v>#VALUE!</v>
      </c>
      <c r="HE24" t="e">
        <f>AND(OnDemandVsReservedOverview!G101,"AAAAAHe79dQ=")</f>
        <v>#VALUE!</v>
      </c>
      <c r="HF24">
        <f>IF(OnDemandVsReservedOverview!102:102,"AAAAAHe79dU=",0)</f>
        <v>0</v>
      </c>
      <c r="HG24" t="e">
        <f>AND(OnDemandVsReservedOverview!A102,"AAAAAHe79dY=")</f>
        <v>#VALUE!</v>
      </c>
      <c r="HH24" t="e">
        <f>AND(OnDemandVsReservedOverview!B102,"AAAAAHe79dc=")</f>
        <v>#VALUE!</v>
      </c>
      <c r="HI24" t="e">
        <f>AND(OnDemandVsReservedOverview!C102,"AAAAAHe79dg=")</f>
        <v>#VALUE!</v>
      </c>
      <c r="HJ24" t="e">
        <f>AND(OnDemandVsReservedOverview!D102,"AAAAAHe79dk=")</f>
        <v>#VALUE!</v>
      </c>
      <c r="HK24" t="e">
        <f>AND(OnDemandVsReservedOverview!E102,"AAAAAHe79do=")</f>
        <v>#VALUE!</v>
      </c>
      <c r="HL24" t="e">
        <f>AND(OnDemandVsReservedOverview!F102,"AAAAAHe79ds=")</f>
        <v>#VALUE!</v>
      </c>
      <c r="HM24" t="e">
        <f>AND(OnDemandVsReservedOverview!G102,"AAAAAHe79dw=")</f>
        <v>#VALUE!</v>
      </c>
      <c r="HN24">
        <f>IF(OnDemandVsReservedOverview!103:103,"AAAAAHe79d0=",0)</f>
        <v>0</v>
      </c>
      <c r="HO24" t="e">
        <f>AND(OnDemandVsReservedOverview!A103,"AAAAAHe79d4=")</f>
        <v>#VALUE!</v>
      </c>
      <c r="HP24" t="e">
        <f>AND(OnDemandVsReservedOverview!B103,"AAAAAHe79d8=")</f>
        <v>#VALUE!</v>
      </c>
      <c r="HQ24" t="e">
        <f>AND(OnDemandVsReservedOverview!C103,"AAAAAHe79eA=")</f>
        <v>#VALUE!</v>
      </c>
      <c r="HR24" t="e">
        <f>AND(OnDemandVsReservedOverview!D103,"AAAAAHe79eE=")</f>
        <v>#VALUE!</v>
      </c>
      <c r="HS24" t="e">
        <f>AND(OnDemandVsReservedOverview!E103,"AAAAAHe79eI=")</f>
        <v>#VALUE!</v>
      </c>
      <c r="HT24" t="e">
        <f>AND(OnDemandVsReservedOverview!F103,"AAAAAHe79eM=")</f>
        <v>#VALUE!</v>
      </c>
      <c r="HU24" t="e">
        <f>AND(OnDemandVsReservedOverview!G103,"AAAAAHe79eQ=")</f>
        <v>#VALUE!</v>
      </c>
      <c r="HV24">
        <f>IF(OnDemandVsReservedOverview!104:104,"AAAAAHe79eU=",0)</f>
        <v>0</v>
      </c>
      <c r="HW24" t="e">
        <f>AND(OnDemandVsReservedOverview!A104,"AAAAAHe79eY=")</f>
        <v>#VALUE!</v>
      </c>
      <c r="HX24" t="e">
        <f>AND(OnDemandVsReservedOverview!B104,"AAAAAHe79ec=")</f>
        <v>#VALUE!</v>
      </c>
      <c r="HY24" t="e">
        <f>AND(OnDemandVsReservedOverview!C104,"AAAAAHe79eg=")</f>
        <v>#VALUE!</v>
      </c>
      <c r="HZ24" t="e">
        <f>AND(OnDemandVsReservedOverview!D104,"AAAAAHe79ek=")</f>
        <v>#VALUE!</v>
      </c>
      <c r="IA24" t="e">
        <f>AND(OnDemandVsReservedOverview!E104,"AAAAAHe79eo=")</f>
        <v>#VALUE!</v>
      </c>
      <c r="IB24" t="e">
        <f>AND(OnDemandVsReservedOverview!F104,"AAAAAHe79es=")</f>
        <v>#VALUE!</v>
      </c>
      <c r="IC24" t="e">
        <f>AND(OnDemandVsReservedOverview!G104,"AAAAAHe79ew=")</f>
        <v>#VALUE!</v>
      </c>
      <c r="ID24">
        <f>IF(OnDemandVsReservedOverview!105:105,"AAAAAHe79e0=",0)</f>
        <v>0</v>
      </c>
      <c r="IE24" t="e">
        <f>AND(OnDemandVsReservedOverview!A105,"AAAAAHe79e4=")</f>
        <v>#VALUE!</v>
      </c>
      <c r="IF24" t="e">
        <f>AND(OnDemandVsReservedOverview!B105,"AAAAAHe79e8=")</f>
        <v>#VALUE!</v>
      </c>
      <c r="IG24" t="e">
        <f>AND(OnDemandVsReservedOverview!C105,"AAAAAHe79fA=")</f>
        <v>#VALUE!</v>
      </c>
      <c r="IH24" t="e">
        <f>AND(OnDemandVsReservedOverview!D105,"AAAAAHe79fE=")</f>
        <v>#VALUE!</v>
      </c>
      <c r="II24" t="e">
        <f>AND(OnDemandVsReservedOverview!E105,"AAAAAHe79fI=")</f>
        <v>#VALUE!</v>
      </c>
      <c r="IJ24" t="e">
        <f>AND(OnDemandVsReservedOverview!F105,"AAAAAHe79fM=")</f>
        <v>#VALUE!</v>
      </c>
      <c r="IK24" t="e">
        <f>AND(OnDemandVsReservedOverview!G105,"AAAAAHe79fQ=")</f>
        <v>#VALUE!</v>
      </c>
      <c r="IL24">
        <f>IF(OnDemandVsReservedOverview!106:106,"AAAAAHe79fU=",0)</f>
        <v>0</v>
      </c>
      <c r="IM24" t="e">
        <f>AND(OnDemandVsReservedOverview!A106,"AAAAAHe79fY=")</f>
        <v>#VALUE!</v>
      </c>
      <c r="IN24" t="e">
        <f>AND(OnDemandVsReservedOverview!B106,"AAAAAHe79fc=")</f>
        <v>#VALUE!</v>
      </c>
      <c r="IO24" t="e">
        <f>AND(OnDemandVsReservedOverview!C106,"AAAAAHe79fg=")</f>
        <v>#VALUE!</v>
      </c>
      <c r="IP24" t="e">
        <f>AND(OnDemandVsReservedOverview!D106,"AAAAAHe79fk=")</f>
        <v>#VALUE!</v>
      </c>
      <c r="IQ24" t="e">
        <f>AND(OnDemandVsReservedOverview!E106,"AAAAAHe79fo=")</f>
        <v>#VALUE!</v>
      </c>
      <c r="IR24" t="e">
        <f>AND(OnDemandVsReservedOverview!F106,"AAAAAHe79fs=")</f>
        <v>#VALUE!</v>
      </c>
      <c r="IS24" t="e">
        <f>AND(OnDemandVsReservedOverview!G106,"AAAAAHe79fw=")</f>
        <v>#VALUE!</v>
      </c>
      <c r="IT24">
        <f>IF(OnDemandVsReservedOverview!107:107,"AAAAAHe79f0=",0)</f>
        <v>0</v>
      </c>
      <c r="IU24" t="e">
        <f>AND(OnDemandVsReservedOverview!A107,"AAAAAHe79f4=")</f>
        <v>#VALUE!</v>
      </c>
      <c r="IV24" t="e">
        <f>AND(OnDemandVsReservedOverview!B107,"AAAAAHe79f8=")</f>
        <v>#VALUE!</v>
      </c>
    </row>
    <row r="25" spans="1:256" x14ac:dyDescent="0.25">
      <c r="A25" t="e">
        <f>AND(OnDemandVsReservedOverview!C107,"AAAAAH9d5gA=")</f>
        <v>#VALUE!</v>
      </c>
      <c r="B25" t="e">
        <f>AND(OnDemandVsReservedOverview!D107,"AAAAAH9d5gE=")</f>
        <v>#VALUE!</v>
      </c>
      <c r="C25" t="e">
        <f>AND(OnDemandVsReservedOverview!E107,"AAAAAH9d5gI=")</f>
        <v>#VALUE!</v>
      </c>
      <c r="D25" t="e">
        <f>AND(OnDemandVsReservedOverview!F107,"AAAAAH9d5gM=")</f>
        <v>#VALUE!</v>
      </c>
      <c r="E25" t="e">
        <f>AND(OnDemandVsReservedOverview!G107,"AAAAAH9d5gQ=")</f>
        <v>#VALUE!</v>
      </c>
      <c r="F25" t="str">
        <f>IF(OnDemandVsReservedOverview!108:108,"AAAAAH9d5gU=",0)</f>
        <v>AAAAAH9d5gU=</v>
      </c>
      <c r="G25" t="e">
        <f>AND(OnDemandVsReservedOverview!A108,"AAAAAH9d5gY=")</f>
        <v>#VALUE!</v>
      </c>
      <c r="H25" t="e">
        <f>AND(OnDemandVsReservedOverview!B108,"AAAAAH9d5gc=")</f>
        <v>#VALUE!</v>
      </c>
      <c r="I25" t="e">
        <f>AND(OnDemandVsReservedOverview!C108,"AAAAAH9d5gg=")</f>
        <v>#VALUE!</v>
      </c>
      <c r="J25" t="e">
        <f>AND(OnDemandVsReservedOverview!D108,"AAAAAH9d5gk=")</f>
        <v>#VALUE!</v>
      </c>
      <c r="K25" t="e">
        <f>AND(OnDemandVsReservedOverview!E108,"AAAAAH9d5go=")</f>
        <v>#VALUE!</v>
      </c>
      <c r="L25" t="e">
        <f>AND(OnDemandVsReservedOverview!F108,"AAAAAH9d5gs=")</f>
        <v>#VALUE!</v>
      </c>
      <c r="M25" t="e">
        <f>AND(OnDemandVsReservedOverview!G108,"AAAAAH9d5gw=")</f>
        <v>#VALUE!</v>
      </c>
      <c r="N25">
        <f>IF(OnDemandVsReservedOverview!109:109,"AAAAAH9d5g0=",0)</f>
        <v>0</v>
      </c>
      <c r="O25" t="e">
        <f>AND(OnDemandVsReservedOverview!A109,"AAAAAH9d5g4=")</f>
        <v>#VALUE!</v>
      </c>
      <c r="P25" t="e">
        <f>AND(OnDemandVsReservedOverview!B109,"AAAAAH9d5g8=")</f>
        <v>#VALUE!</v>
      </c>
      <c r="Q25" t="e">
        <f>AND(OnDemandVsReservedOverview!C109,"AAAAAH9d5hA=")</f>
        <v>#VALUE!</v>
      </c>
      <c r="R25" t="e">
        <f>AND(OnDemandVsReservedOverview!D109,"AAAAAH9d5hE=")</f>
        <v>#VALUE!</v>
      </c>
      <c r="S25" t="e">
        <f>AND(OnDemandVsReservedOverview!E109,"AAAAAH9d5hI=")</f>
        <v>#VALUE!</v>
      </c>
      <c r="T25" t="e">
        <f>AND(OnDemandVsReservedOverview!F109,"AAAAAH9d5hM=")</f>
        <v>#VALUE!</v>
      </c>
      <c r="U25" t="e">
        <f>AND(OnDemandVsReservedOverview!G109,"AAAAAH9d5hQ=")</f>
        <v>#VALUE!</v>
      </c>
      <c r="V25">
        <f>IF(OnDemandVsReservedOverview!110:110,"AAAAAH9d5hU=",0)</f>
        <v>0</v>
      </c>
      <c r="W25" t="e">
        <f>AND(OnDemandVsReservedOverview!A110,"AAAAAH9d5hY=")</f>
        <v>#VALUE!</v>
      </c>
      <c r="X25" t="e">
        <f>AND(OnDemandVsReservedOverview!B110,"AAAAAH9d5hc=")</f>
        <v>#VALUE!</v>
      </c>
      <c r="Y25" t="e">
        <f>AND(OnDemandVsReservedOverview!C110,"AAAAAH9d5hg=")</f>
        <v>#VALUE!</v>
      </c>
      <c r="Z25" t="e">
        <f>AND(OnDemandVsReservedOverview!D110,"AAAAAH9d5hk=")</f>
        <v>#VALUE!</v>
      </c>
      <c r="AA25" t="e">
        <f>AND(OnDemandVsReservedOverview!E110,"AAAAAH9d5ho=")</f>
        <v>#VALUE!</v>
      </c>
      <c r="AB25" t="e">
        <f>AND(OnDemandVsReservedOverview!F110,"AAAAAH9d5hs=")</f>
        <v>#VALUE!</v>
      </c>
      <c r="AC25" t="e">
        <f>AND(OnDemandVsReservedOverview!G110,"AAAAAH9d5hw=")</f>
        <v>#VALUE!</v>
      </c>
      <c r="AD25">
        <f>IF(OnDemandVsReservedOverview!111:111,"AAAAAH9d5h0=",0)</f>
        <v>0</v>
      </c>
      <c r="AE25" t="e">
        <f>AND(OnDemandVsReservedOverview!A111,"AAAAAH9d5h4=")</f>
        <v>#VALUE!</v>
      </c>
      <c r="AF25" t="e">
        <f>AND(OnDemandVsReservedOverview!B111,"AAAAAH9d5h8=")</f>
        <v>#VALUE!</v>
      </c>
      <c r="AG25" t="e">
        <f>AND(OnDemandVsReservedOverview!C111,"AAAAAH9d5iA=")</f>
        <v>#VALUE!</v>
      </c>
      <c r="AH25" t="e">
        <f>AND(OnDemandVsReservedOverview!D111,"AAAAAH9d5iE=")</f>
        <v>#VALUE!</v>
      </c>
      <c r="AI25" t="e">
        <f>AND(OnDemandVsReservedOverview!E111,"AAAAAH9d5iI=")</f>
        <v>#VALUE!</v>
      </c>
      <c r="AJ25" t="e">
        <f>AND(OnDemandVsReservedOverview!F111,"AAAAAH9d5iM=")</f>
        <v>#VALUE!</v>
      </c>
      <c r="AK25" t="e">
        <f>AND(OnDemandVsReservedOverview!G111,"AAAAAH9d5iQ=")</f>
        <v>#VALUE!</v>
      </c>
      <c r="AL25">
        <f>IF(OnDemandVsReservedOverview!112:112,"AAAAAH9d5iU=",0)</f>
        <v>0</v>
      </c>
      <c r="AM25" t="e">
        <f>AND(OnDemandVsReservedOverview!A112,"AAAAAH9d5iY=")</f>
        <v>#VALUE!</v>
      </c>
      <c r="AN25" t="e">
        <f>AND(OnDemandVsReservedOverview!B112,"AAAAAH9d5ic=")</f>
        <v>#VALUE!</v>
      </c>
      <c r="AO25" t="e">
        <f>AND(OnDemandVsReservedOverview!C112,"AAAAAH9d5ig=")</f>
        <v>#VALUE!</v>
      </c>
      <c r="AP25" t="e">
        <f>AND(OnDemandVsReservedOverview!D112,"AAAAAH9d5ik=")</f>
        <v>#VALUE!</v>
      </c>
      <c r="AQ25" t="e">
        <f>AND(OnDemandVsReservedOverview!E112,"AAAAAH9d5io=")</f>
        <v>#VALUE!</v>
      </c>
      <c r="AR25" t="e">
        <f>AND(OnDemandVsReservedOverview!F112,"AAAAAH9d5is=")</f>
        <v>#VALUE!</v>
      </c>
      <c r="AS25" t="e">
        <f>AND(OnDemandVsReservedOverview!G112,"AAAAAH9d5iw=")</f>
        <v>#VALUE!</v>
      </c>
      <c r="AT25">
        <f>IF(OnDemandVsReservedOverview!113:113,"AAAAAH9d5i0=",0)</f>
        <v>0</v>
      </c>
      <c r="AU25" t="e">
        <f>AND(OnDemandVsReservedOverview!A113,"AAAAAH9d5i4=")</f>
        <v>#VALUE!</v>
      </c>
      <c r="AV25" t="e">
        <f>AND(OnDemandVsReservedOverview!B113,"AAAAAH9d5i8=")</f>
        <v>#VALUE!</v>
      </c>
      <c r="AW25" t="e">
        <f>AND(OnDemandVsReservedOverview!C113,"AAAAAH9d5jA=")</f>
        <v>#VALUE!</v>
      </c>
      <c r="AX25" t="e">
        <f>AND(OnDemandVsReservedOverview!D113,"AAAAAH9d5jE=")</f>
        <v>#VALUE!</v>
      </c>
      <c r="AY25" t="e">
        <f>AND(OnDemandVsReservedOverview!E113,"AAAAAH9d5jI=")</f>
        <v>#VALUE!</v>
      </c>
      <c r="AZ25" t="e">
        <f>AND(OnDemandVsReservedOverview!F113,"AAAAAH9d5jM=")</f>
        <v>#VALUE!</v>
      </c>
      <c r="BA25" t="e">
        <f>AND(OnDemandVsReservedOverview!G113,"AAAAAH9d5jQ=")</f>
        <v>#VALUE!</v>
      </c>
      <c r="BB25">
        <f>IF(OnDemandVsReservedOverview!114:114,"AAAAAH9d5jU=",0)</f>
        <v>0</v>
      </c>
      <c r="BC25" t="e">
        <f>AND(OnDemandVsReservedOverview!A114,"AAAAAH9d5jY=")</f>
        <v>#VALUE!</v>
      </c>
      <c r="BD25" t="e">
        <f>AND(OnDemandVsReservedOverview!B114,"AAAAAH9d5jc=")</f>
        <v>#VALUE!</v>
      </c>
      <c r="BE25" t="e">
        <f>AND(OnDemandVsReservedOverview!C114,"AAAAAH9d5jg=")</f>
        <v>#VALUE!</v>
      </c>
      <c r="BF25" t="e">
        <f>AND(OnDemandVsReservedOverview!D114,"AAAAAH9d5jk=")</f>
        <v>#VALUE!</v>
      </c>
      <c r="BG25" t="e">
        <f>AND(OnDemandVsReservedOverview!E114,"AAAAAH9d5jo=")</f>
        <v>#VALUE!</v>
      </c>
      <c r="BH25" t="e">
        <f>AND(OnDemandVsReservedOverview!F114,"AAAAAH9d5js=")</f>
        <v>#VALUE!</v>
      </c>
      <c r="BI25" t="e">
        <f>AND(OnDemandVsReservedOverview!G114,"AAAAAH9d5jw=")</f>
        <v>#VALUE!</v>
      </c>
      <c r="BJ25">
        <f>IF(OnDemandVsReservedOverview!115:115,"AAAAAH9d5j0=",0)</f>
        <v>0</v>
      </c>
      <c r="BK25" t="e">
        <f>AND(OnDemandVsReservedOverview!A115,"AAAAAH9d5j4=")</f>
        <v>#VALUE!</v>
      </c>
      <c r="BL25" t="e">
        <f>AND(OnDemandVsReservedOverview!B115,"AAAAAH9d5j8=")</f>
        <v>#VALUE!</v>
      </c>
      <c r="BM25" t="e">
        <f>AND(OnDemandVsReservedOverview!C115,"AAAAAH9d5kA=")</f>
        <v>#VALUE!</v>
      </c>
      <c r="BN25" t="e">
        <f>AND(OnDemandVsReservedOverview!D115,"AAAAAH9d5kE=")</f>
        <v>#VALUE!</v>
      </c>
      <c r="BO25" t="e">
        <f>AND(OnDemandVsReservedOverview!E115,"AAAAAH9d5kI=")</f>
        <v>#VALUE!</v>
      </c>
      <c r="BP25" t="e">
        <f>AND(OnDemandVsReservedOverview!F115,"AAAAAH9d5kM=")</f>
        <v>#VALUE!</v>
      </c>
      <c r="BQ25" t="e">
        <f>AND(OnDemandVsReservedOverview!G115,"AAAAAH9d5kQ=")</f>
        <v>#VALUE!</v>
      </c>
      <c r="BR25">
        <f>IF(OnDemandVsReservedOverview!116:116,"AAAAAH9d5kU=",0)</f>
        <v>0</v>
      </c>
      <c r="BS25" t="e">
        <f>AND(OnDemandVsReservedOverview!A116,"AAAAAH9d5kY=")</f>
        <v>#VALUE!</v>
      </c>
      <c r="BT25" t="e">
        <f>AND(OnDemandVsReservedOverview!B116,"AAAAAH9d5kc=")</f>
        <v>#VALUE!</v>
      </c>
      <c r="BU25" t="e">
        <f>AND(OnDemandVsReservedOverview!C116,"AAAAAH9d5kg=")</f>
        <v>#VALUE!</v>
      </c>
      <c r="BV25" t="e">
        <f>AND(OnDemandVsReservedOverview!D116,"AAAAAH9d5kk=")</f>
        <v>#VALUE!</v>
      </c>
      <c r="BW25" t="e">
        <f>AND(OnDemandVsReservedOverview!E116,"AAAAAH9d5ko=")</f>
        <v>#VALUE!</v>
      </c>
      <c r="BX25" t="e">
        <f>AND(OnDemandVsReservedOverview!F116,"AAAAAH9d5ks=")</f>
        <v>#VALUE!</v>
      </c>
      <c r="BY25" t="e">
        <f>AND(OnDemandVsReservedOverview!G116,"AAAAAH9d5kw=")</f>
        <v>#VALUE!</v>
      </c>
      <c r="BZ25">
        <f>IF(OnDemandVsReservedOverview!117:117,"AAAAAH9d5k0=",0)</f>
        <v>0</v>
      </c>
      <c r="CA25" t="e">
        <f>AND(OnDemandVsReservedOverview!A117,"AAAAAH9d5k4=")</f>
        <v>#VALUE!</v>
      </c>
      <c r="CB25" t="e">
        <f>AND(OnDemandVsReservedOverview!B117,"AAAAAH9d5k8=")</f>
        <v>#VALUE!</v>
      </c>
      <c r="CC25" t="e">
        <f>AND(OnDemandVsReservedOverview!C117,"AAAAAH9d5lA=")</f>
        <v>#VALUE!</v>
      </c>
      <c r="CD25" t="e">
        <f>AND(OnDemandVsReservedOverview!D117,"AAAAAH9d5lE=")</f>
        <v>#VALUE!</v>
      </c>
      <c r="CE25" t="e">
        <f>AND(OnDemandVsReservedOverview!E117,"AAAAAH9d5lI=")</f>
        <v>#VALUE!</v>
      </c>
      <c r="CF25" t="e">
        <f>AND(OnDemandVsReservedOverview!F117,"AAAAAH9d5lM=")</f>
        <v>#VALUE!</v>
      </c>
      <c r="CG25" t="e">
        <f>AND(OnDemandVsReservedOverview!G117,"AAAAAH9d5lQ=")</f>
        <v>#VALUE!</v>
      </c>
      <c r="CH25">
        <f>IF(OnDemandVsReservedOverview!118:118,"AAAAAH9d5lU=",0)</f>
        <v>0</v>
      </c>
      <c r="CI25" t="e">
        <f>AND(OnDemandVsReservedOverview!A118,"AAAAAH9d5lY=")</f>
        <v>#VALUE!</v>
      </c>
      <c r="CJ25" t="e">
        <f>AND(OnDemandVsReservedOverview!B118,"AAAAAH9d5lc=")</f>
        <v>#VALUE!</v>
      </c>
      <c r="CK25" t="e">
        <f>AND(OnDemandVsReservedOverview!C118,"AAAAAH9d5lg=")</f>
        <v>#VALUE!</v>
      </c>
      <c r="CL25" t="e">
        <f>AND(OnDemandVsReservedOverview!D118,"AAAAAH9d5lk=")</f>
        <v>#VALUE!</v>
      </c>
      <c r="CM25" t="e">
        <f>AND(OnDemandVsReservedOverview!E118,"AAAAAH9d5lo=")</f>
        <v>#VALUE!</v>
      </c>
      <c r="CN25" t="e">
        <f>AND(OnDemandVsReservedOverview!F118,"AAAAAH9d5ls=")</f>
        <v>#VALUE!</v>
      </c>
      <c r="CO25" t="e">
        <f>AND(OnDemandVsReservedOverview!G118,"AAAAAH9d5lw=")</f>
        <v>#VALUE!</v>
      </c>
      <c r="CP25">
        <f>IF(OnDemandVsReservedOverview!119:119,"AAAAAH9d5l0=",0)</f>
        <v>0</v>
      </c>
      <c r="CQ25" t="e">
        <f>AND(OnDemandVsReservedOverview!A119,"AAAAAH9d5l4=")</f>
        <v>#VALUE!</v>
      </c>
      <c r="CR25" t="e">
        <f>AND(OnDemandVsReservedOverview!B119,"AAAAAH9d5l8=")</f>
        <v>#VALUE!</v>
      </c>
      <c r="CS25" t="e">
        <f>AND(OnDemandVsReservedOverview!C119,"AAAAAH9d5mA=")</f>
        <v>#VALUE!</v>
      </c>
      <c r="CT25" t="e">
        <f>AND(OnDemandVsReservedOverview!D119,"AAAAAH9d5mE=")</f>
        <v>#VALUE!</v>
      </c>
      <c r="CU25" t="e">
        <f>AND(OnDemandVsReservedOverview!E119,"AAAAAH9d5mI=")</f>
        <v>#VALUE!</v>
      </c>
      <c r="CV25" t="e">
        <f>AND(OnDemandVsReservedOverview!F119,"AAAAAH9d5mM=")</f>
        <v>#VALUE!</v>
      </c>
      <c r="CW25" t="e">
        <f>AND(OnDemandVsReservedOverview!G119,"AAAAAH9d5mQ=")</f>
        <v>#VALUE!</v>
      </c>
      <c r="CX25">
        <f>IF(OnDemandVsReservedOverview!120:120,"AAAAAH9d5mU=",0)</f>
        <v>0</v>
      </c>
      <c r="CY25" t="e">
        <f>AND(OnDemandVsReservedOverview!A120,"AAAAAH9d5mY=")</f>
        <v>#VALUE!</v>
      </c>
      <c r="CZ25" t="e">
        <f>AND(OnDemandVsReservedOverview!B120,"AAAAAH9d5mc=")</f>
        <v>#VALUE!</v>
      </c>
      <c r="DA25" t="e">
        <f>AND(OnDemandVsReservedOverview!C120,"AAAAAH9d5mg=")</f>
        <v>#VALUE!</v>
      </c>
      <c r="DB25" t="e">
        <f>AND(OnDemandVsReservedOverview!D120,"AAAAAH9d5mk=")</f>
        <v>#VALUE!</v>
      </c>
      <c r="DC25" t="e">
        <f>AND(OnDemandVsReservedOverview!E120,"AAAAAH9d5mo=")</f>
        <v>#VALUE!</v>
      </c>
      <c r="DD25" t="e">
        <f>AND(OnDemandVsReservedOverview!F120,"AAAAAH9d5ms=")</f>
        <v>#VALUE!</v>
      </c>
      <c r="DE25" t="e">
        <f>AND(OnDemandVsReservedOverview!G120,"AAAAAH9d5mw=")</f>
        <v>#VALUE!</v>
      </c>
      <c r="DF25">
        <f>IF(OnDemandVsReservedOverview!121:121,"AAAAAH9d5m0=",0)</f>
        <v>0</v>
      </c>
      <c r="DG25" t="e">
        <f>AND(OnDemandVsReservedOverview!A121,"AAAAAH9d5m4=")</f>
        <v>#VALUE!</v>
      </c>
      <c r="DH25" t="e">
        <f>AND(OnDemandVsReservedOverview!B121,"AAAAAH9d5m8=")</f>
        <v>#VALUE!</v>
      </c>
      <c r="DI25" t="e">
        <f>AND(OnDemandVsReservedOverview!C121,"AAAAAH9d5nA=")</f>
        <v>#VALUE!</v>
      </c>
      <c r="DJ25" t="e">
        <f>AND(OnDemandVsReservedOverview!D121,"AAAAAH9d5nE=")</f>
        <v>#VALUE!</v>
      </c>
      <c r="DK25" t="e">
        <f>AND(OnDemandVsReservedOverview!E121,"AAAAAH9d5nI=")</f>
        <v>#VALUE!</v>
      </c>
      <c r="DL25" t="e">
        <f>AND(OnDemandVsReservedOverview!F121,"AAAAAH9d5nM=")</f>
        <v>#VALUE!</v>
      </c>
      <c r="DM25" t="e">
        <f>AND(OnDemandVsReservedOverview!G121,"AAAAAH9d5nQ=")</f>
        <v>#VALUE!</v>
      </c>
      <c r="DN25">
        <f>IF(OnDemandVsReservedOverview!122:122,"AAAAAH9d5nU=",0)</f>
        <v>0</v>
      </c>
      <c r="DO25" t="e">
        <f>AND(OnDemandVsReservedOverview!A122,"AAAAAH9d5nY=")</f>
        <v>#VALUE!</v>
      </c>
      <c r="DP25" t="e">
        <f>AND(OnDemandVsReservedOverview!B122,"AAAAAH9d5nc=")</f>
        <v>#VALUE!</v>
      </c>
      <c r="DQ25" t="e">
        <f>AND(OnDemandVsReservedOverview!C122,"AAAAAH9d5ng=")</f>
        <v>#VALUE!</v>
      </c>
      <c r="DR25" t="e">
        <f>AND(OnDemandVsReservedOverview!D122,"AAAAAH9d5nk=")</f>
        <v>#VALUE!</v>
      </c>
      <c r="DS25" t="e">
        <f>AND(OnDemandVsReservedOverview!E122,"AAAAAH9d5no=")</f>
        <v>#VALUE!</v>
      </c>
      <c r="DT25" t="e">
        <f>AND(OnDemandVsReservedOverview!F122,"AAAAAH9d5ns=")</f>
        <v>#VALUE!</v>
      </c>
      <c r="DU25" t="e">
        <f>AND(OnDemandVsReservedOverview!G122,"AAAAAH9d5nw=")</f>
        <v>#VALUE!</v>
      </c>
      <c r="DV25">
        <f>IF(OnDemandVsReservedOverview!123:123,"AAAAAH9d5n0=",0)</f>
        <v>0</v>
      </c>
      <c r="DW25" t="e">
        <f>AND(OnDemandVsReservedOverview!A123,"AAAAAH9d5n4=")</f>
        <v>#VALUE!</v>
      </c>
      <c r="DX25" t="e">
        <f>AND(OnDemandVsReservedOverview!B123,"AAAAAH9d5n8=")</f>
        <v>#VALUE!</v>
      </c>
      <c r="DY25" t="e">
        <f>AND(OnDemandVsReservedOverview!C123,"AAAAAH9d5oA=")</f>
        <v>#VALUE!</v>
      </c>
      <c r="DZ25" t="e">
        <f>AND(OnDemandVsReservedOverview!D123,"AAAAAH9d5oE=")</f>
        <v>#VALUE!</v>
      </c>
      <c r="EA25" t="e">
        <f>AND(OnDemandVsReservedOverview!E123,"AAAAAH9d5oI=")</f>
        <v>#VALUE!</v>
      </c>
      <c r="EB25" t="e">
        <f>AND(OnDemandVsReservedOverview!F123,"AAAAAH9d5oM=")</f>
        <v>#VALUE!</v>
      </c>
      <c r="EC25" t="e">
        <f>AND(OnDemandVsReservedOverview!G123,"AAAAAH9d5oQ=")</f>
        <v>#VALUE!</v>
      </c>
      <c r="ED25">
        <f>IF(OnDemandVsReservedOverview!124:124,"AAAAAH9d5oU=",0)</f>
        <v>0</v>
      </c>
      <c r="EE25" t="e">
        <f>AND(OnDemandVsReservedOverview!A124,"AAAAAH9d5oY=")</f>
        <v>#VALUE!</v>
      </c>
      <c r="EF25" t="e">
        <f>AND(OnDemandVsReservedOverview!B124,"AAAAAH9d5oc=")</f>
        <v>#VALUE!</v>
      </c>
      <c r="EG25" t="e">
        <f>AND(OnDemandVsReservedOverview!C124,"AAAAAH9d5og=")</f>
        <v>#VALUE!</v>
      </c>
      <c r="EH25" t="e">
        <f>AND(OnDemandVsReservedOverview!D124,"AAAAAH9d5ok=")</f>
        <v>#VALUE!</v>
      </c>
      <c r="EI25" t="e">
        <f>AND(OnDemandVsReservedOverview!E124,"AAAAAH9d5oo=")</f>
        <v>#VALUE!</v>
      </c>
      <c r="EJ25" t="e">
        <f>AND(OnDemandVsReservedOverview!F124,"AAAAAH9d5os=")</f>
        <v>#VALUE!</v>
      </c>
      <c r="EK25" t="e">
        <f>AND(OnDemandVsReservedOverview!G124,"AAAAAH9d5ow=")</f>
        <v>#VALUE!</v>
      </c>
      <c r="EL25">
        <f>IF(OnDemandVsReservedOverview!125:125,"AAAAAH9d5o0=",0)</f>
        <v>0</v>
      </c>
      <c r="EM25" t="e">
        <f>AND(OnDemandVsReservedOverview!A125,"AAAAAH9d5o4=")</f>
        <v>#VALUE!</v>
      </c>
      <c r="EN25" t="e">
        <f>AND(OnDemandVsReservedOverview!B125,"AAAAAH9d5o8=")</f>
        <v>#VALUE!</v>
      </c>
      <c r="EO25" t="e">
        <f>AND(OnDemandVsReservedOverview!C125,"AAAAAH9d5pA=")</f>
        <v>#VALUE!</v>
      </c>
      <c r="EP25" t="e">
        <f>AND(OnDemandVsReservedOverview!D125,"AAAAAH9d5pE=")</f>
        <v>#VALUE!</v>
      </c>
      <c r="EQ25" t="e">
        <f>AND(OnDemandVsReservedOverview!E125,"AAAAAH9d5pI=")</f>
        <v>#VALUE!</v>
      </c>
      <c r="ER25" t="e">
        <f>AND(OnDemandVsReservedOverview!F125,"AAAAAH9d5pM=")</f>
        <v>#VALUE!</v>
      </c>
      <c r="ES25" t="e">
        <f>AND(OnDemandVsReservedOverview!G125,"AAAAAH9d5pQ=")</f>
        <v>#VALUE!</v>
      </c>
      <c r="ET25">
        <f>IF(OnDemandVsReservedOverview!126:126,"AAAAAH9d5pU=",0)</f>
        <v>0</v>
      </c>
      <c r="EU25" t="e">
        <f>AND(OnDemandVsReservedOverview!A126,"AAAAAH9d5pY=")</f>
        <v>#VALUE!</v>
      </c>
      <c r="EV25" t="e">
        <f>AND(OnDemandVsReservedOverview!B126,"AAAAAH9d5pc=")</f>
        <v>#VALUE!</v>
      </c>
      <c r="EW25" t="e">
        <f>AND(OnDemandVsReservedOverview!C126,"AAAAAH9d5pg=")</f>
        <v>#VALUE!</v>
      </c>
      <c r="EX25" t="e">
        <f>AND(OnDemandVsReservedOverview!D126,"AAAAAH9d5pk=")</f>
        <v>#VALUE!</v>
      </c>
      <c r="EY25" t="e">
        <f>AND(OnDemandVsReservedOverview!E126,"AAAAAH9d5po=")</f>
        <v>#VALUE!</v>
      </c>
      <c r="EZ25" t="e">
        <f>AND(OnDemandVsReservedOverview!F126,"AAAAAH9d5ps=")</f>
        <v>#VALUE!</v>
      </c>
      <c r="FA25" t="e">
        <f>AND(OnDemandVsReservedOverview!G126,"AAAAAH9d5pw=")</f>
        <v>#VALUE!</v>
      </c>
      <c r="FB25">
        <f>IF(OnDemandVsReservedOverview!127:127,"AAAAAH9d5p0=",0)</f>
        <v>0</v>
      </c>
      <c r="FC25" t="e">
        <f>AND(OnDemandVsReservedOverview!A127,"AAAAAH9d5p4=")</f>
        <v>#VALUE!</v>
      </c>
      <c r="FD25" t="e">
        <f>AND(OnDemandVsReservedOverview!B127,"AAAAAH9d5p8=")</f>
        <v>#VALUE!</v>
      </c>
      <c r="FE25" t="e">
        <f>AND(OnDemandVsReservedOverview!C127,"AAAAAH9d5qA=")</f>
        <v>#VALUE!</v>
      </c>
      <c r="FF25" t="e">
        <f>AND(OnDemandVsReservedOverview!D127,"AAAAAH9d5qE=")</f>
        <v>#VALUE!</v>
      </c>
      <c r="FG25" t="e">
        <f>AND(OnDemandVsReservedOverview!E127,"AAAAAH9d5qI=")</f>
        <v>#VALUE!</v>
      </c>
      <c r="FH25" t="e">
        <f>AND(OnDemandVsReservedOverview!F127,"AAAAAH9d5qM=")</f>
        <v>#VALUE!</v>
      </c>
      <c r="FI25" t="e">
        <f>AND(OnDemandVsReservedOverview!G127,"AAAAAH9d5qQ=")</f>
        <v>#VALUE!</v>
      </c>
      <c r="FJ25">
        <f>IF(OnDemandVsReservedOverview!128:128,"AAAAAH9d5qU=",0)</f>
        <v>0</v>
      </c>
      <c r="FK25" t="e">
        <f>AND(OnDemandVsReservedOverview!A128,"AAAAAH9d5qY=")</f>
        <v>#VALUE!</v>
      </c>
      <c r="FL25" t="e">
        <f>AND(OnDemandVsReservedOverview!B128,"AAAAAH9d5qc=")</f>
        <v>#VALUE!</v>
      </c>
      <c r="FM25" t="e">
        <f>AND(OnDemandVsReservedOverview!C128,"AAAAAH9d5qg=")</f>
        <v>#VALUE!</v>
      </c>
      <c r="FN25" t="e">
        <f>AND(OnDemandVsReservedOverview!D128,"AAAAAH9d5qk=")</f>
        <v>#VALUE!</v>
      </c>
      <c r="FO25" t="e">
        <f>AND(OnDemandVsReservedOverview!E128,"AAAAAH9d5qo=")</f>
        <v>#VALUE!</v>
      </c>
      <c r="FP25" t="e">
        <f>AND(OnDemandVsReservedOverview!F128,"AAAAAH9d5qs=")</f>
        <v>#VALUE!</v>
      </c>
      <c r="FQ25" t="e">
        <f>AND(OnDemandVsReservedOverview!G128,"AAAAAH9d5qw=")</f>
        <v>#VALUE!</v>
      </c>
      <c r="FR25">
        <f>IF(OnDemandVsReservedOverview!129:129,"AAAAAH9d5q0=",0)</f>
        <v>0</v>
      </c>
      <c r="FS25" t="e">
        <f>AND(OnDemandVsReservedOverview!A129,"AAAAAH9d5q4=")</f>
        <v>#VALUE!</v>
      </c>
      <c r="FT25" t="e">
        <f>AND(OnDemandVsReservedOverview!B129,"AAAAAH9d5q8=")</f>
        <v>#VALUE!</v>
      </c>
      <c r="FU25" t="e">
        <f>AND(OnDemandVsReservedOverview!C129,"AAAAAH9d5rA=")</f>
        <v>#VALUE!</v>
      </c>
      <c r="FV25" t="e">
        <f>AND(OnDemandVsReservedOverview!D129,"AAAAAH9d5rE=")</f>
        <v>#VALUE!</v>
      </c>
      <c r="FW25" t="e">
        <f>AND(OnDemandVsReservedOverview!E129,"AAAAAH9d5rI=")</f>
        <v>#VALUE!</v>
      </c>
      <c r="FX25" t="e">
        <f>AND(OnDemandVsReservedOverview!F129,"AAAAAH9d5rM=")</f>
        <v>#VALUE!</v>
      </c>
      <c r="FY25" t="e">
        <f>AND(OnDemandVsReservedOverview!G129,"AAAAAH9d5rQ=")</f>
        <v>#VALUE!</v>
      </c>
      <c r="FZ25">
        <f>IF(OnDemandVsReservedOverview!130:130,"AAAAAH9d5rU=",0)</f>
        <v>0</v>
      </c>
      <c r="GA25" t="e">
        <f>AND(OnDemandVsReservedOverview!A130,"AAAAAH9d5rY=")</f>
        <v>#VALUE!</v>
      </c>
      <c r="GB25" t="e">
        <f>AND(OnDemandVsReservedOverview!B130,"AAAAAH9d5rc=")</f>
        <v>#VALUE!</v>
      </c>
      <c r="GC25" t="e">
        <f>AND(OnDemandVsReservedOverview!C130,"AAAAAH9d5rg=")</f>
        <v>#VALUE!</v>
      </c>
      <c r="GD25" t="e">
        <f>AND(OnDemandVsReservedOverview!D130,"AAAAAH9d5rk=")</f>
        <v>#VALUE!</v>
      </c>
      <c r="GE25" t="e">
        <f>AND(OnDemandVsReservedOverview!E130,"AAAAAH9d5ro=")</f>
        <v>#VALUE!</v>
      </c>
      <c r="GF25" t="e">
        <f>AND(OnDemandVsReservedOverview!F130,"AAAAAH9d5rs=")</f>
        <v>#VALUE!</v>
      </c>
      <c r="GG25" t="e">
        <f>AND(OnDemandVsReservedOverview!G130,"AAAAAH9d5rw=")</f>
        <v>#VALUE!</v>
      </c>
      <c r="GH25">
        <f>IF(OnDemandVsReservedOverview!131:131,"AAAAAH9d5r0=",0)</f>
        <v>0</v>
      </c>
      <c r="GI25" t="e">
        <f>AND(OnDemandVsReservedOverview!A131,"AAAAAH9d5r4=")</f>
        <v>#VALUE!</v>
      </c>
      <c r="GJ25" t="e">
        <f>AND(OnDemandVsReservedOverview!B131,"AAAAAH9d5r8=")</f>
        <v>#VALUE!</v>
      </c>
      <c r="GK25" t="e">
        <f>AND(OnDemandVsReservedOverview!C131,"AAAAAH9d5sA=")</f>
        <v>#VALUE!</v>
      </c>
      <c r="GL25" t="e">
        <f>AND(OnDemandVsReservedOverview!D131,"AAAAAH9d5sE=")</f>
        <v>#VALUE!</v>
      </c>
      <c r="GM25" t="e">
        <f>AND(OnDemandVsReservedOverview!E131,"AAAAAH9d5sI=")</f>
        <v>#VALUE!</v>
      </c>
      <c r="GN25" t="e">
        <f>AND(OnDemandVsReservedOverview!F131,"AAAAAH9d5sM=")</f>
        <v>#VALUE!</v>
      </c>
      <c r="GO25" t="e">
        <f>AND(OnDemandVsReservedOverview!G131,"AAAAAH9d5sQ=")</f>
        <v>#VALUE!</v>
      </c>
      <c r="GP25">
        <f>IF(OnDemandVsReservedOverview!132:132,"AAAAAH9d5sU=",0)</f>
        <v>0</v>
      </c>
      <c r="GQ25" t="e">
        <f>AND(OnDemandVsReservedOverview!A132,"AAAAAH9d5sY=")</f>
        <v>#VALUE!</v>
      </c>
      <c r="GR25" t="e">
        <f>AND(OnDemandVsReservedOverview!B132,"AAAAAH9d5sc=")</f>
        <v>#VALUE!</v>
      </c>
      <c r="GS25" t="e">
        <f>AND(OnDemandVsReservedOverview!C132,"AAAAAH9d5sg=")</f>
        <v>#VALUE!</v>
      </c>
      <c r="GT25" t="e">
        <f>AND(OnDemandVsReservedOverview!D132,"AAAAAH9d5sk=")</f>
        <v>#VALUE!</v>
      </c>
      <c r="GU25" t="e">
        <f>AND(OnDemandVsReservedOverview!E132,"AAAAAH9d5so=")</f>
        <v>#VALUE!</v>
      </c>
      <c r="GV25" t="e">
        <f>AND(OnDemandVsReservedOverview!F132,"AAAAAH9d5ss=")</f>
        <v>#VALUE!</v>
      </c>
      <c r="GW25" t="e">
        <f>AND(OnDemandVsReservedOverview!G132,"AAAAAH9d5sw=")</f>
        <v>#VALUE!</v>
      </c>
      <c r="GX25">
        <f>IF(OnDemandVsReservedOverview!133:133,"AAAAAH9d5s0=",0)</f>
        <v>0</v>
      </c>
      <c r="GY25" t="e">
        <f>AND(OnDemandVsReservedOverview!A133,"AAAAAH9d5s4=")</f>
        <v>#VALUE!</v>
      </c>
      <c r="GZ25" t="e">
        <f>AND(OnDemandVsReservedOverview!B133,"AAAAAH9d5s8=")</f>
        <v>#VALUE!</v>
      </c>
      <c r="HA25" t="e">
        <f>AND(OnDemandVsReservedOverview!C133,"AAAAAH9d5tA=")</f>
        <v>#VALUE!</v>
      </c>
      <c r="HB25" t="e">
        <f>AND(OnDemandVsReservedOverview!D133,"AAAAAH9d5tE=")</f>
        <v>#VALUE!</v>
      </c>
      <c r="HC25" t="e">
        <f>AND(OnDemandVsReservedOverview!E133,"AAAAAH9d5tI=")</f>
        <v>#VALUE!</v>
      </c>
      <c r="HD25" t="e">
        <f>AND(OnDemandVsReservedOverview!F133,"AAAAAH9d5tM=")</f>
        <v>#VALUE!</v>
      </c>
      <c r="HE25" t="e">
        <f>AND(OnDemandVsReservedOverview!G133,"AAAAAH9d5tQ=")</f>
        <v>#VALUE!</v>
      </c>
      <c r="HF25">
        <f>IF(OnDemandVsReservedOverview!134:134,"AAAAAH9d5tU=",0)</f>
        <v>0</v>
      </c>
      <c r="HG25" t="e">
        <f>AND(OnDemandVsReservedOverview!A134,"AAAAAH9d5tY=")</f>
        <v>#VALUE!</v>
      </c>
      <c r="HH25" t="e">
        <f>AND(OnDemandVsReservedOverview!B134,"AAAAAH9d5tc=")</f>
        <v>#VALUE!</v>
      </c>
      <c r="HI25" t="e">
        <f>AND(OnDemandVsReservedOverview!C134,"AAAAAH9d5tg=")</f>
        <v>#VALUE!</v>
      </c>
      <c r="HJ25" t="e">
        <f>AND(OnDemandVsReservedOverview!D134,"AAAAAH9d5tk=")</f>
        <v>#VALUE!</v>
      </c>
      <c r="HK25" t="e">
        <f>AND(OnDemandVsReservedOverview!E134,"AAAAAH9d5to=")</f>
        <v>#VALUE!</v>
      </c>
      <c r="HL25" t="e">
        <f>AND(OnDemandVsReservedOverview!F134,"AAAAAH9d5ts=")</f>
        <v>#VALUE!</v>
      </c>
      <c r="HM25" t="e">
        <f>AND(OnDemandVsReservedOverview!G134,"AAAAAH9d5tw=")</f>
        <v>#VALUE!</v>
      </c>
      <c r="HN25">
        <f>IF(OnDemandVsReservedOverview!135:135,"AAAAAH9d5t0=",0)</f>
        <v>0</v>
      </c>
      <c r="HO25" t="e">
        <f>AND(OnDemandVsReservedOverview!A135,"AAAAAH9d5t4=")</f>
        <v>#VALUE!</v>
      </c>
      <c r="HP25" t="e">
        <f>AND(OnDemandVsReservedOverview!B135,"AAAAAH9d5t8=")</f>
        <v>#VALUE!</v>
      </c>
      <c r="HQ25" t="e">
        <f>AND(OnDemandVsReservedOverview!C135,"AAAAAH9d5uA=")</f>
        <v>#VALUE!</v>
      </c>
      <c r="HR25" t="e">
        <f>AND(OnDemandVsReservedOverview!D135,"AAAAAH9d5uE=")</f>
        <v>#VALUE!</v>
      </c>
      <c r="HS25" t="e">
        <f>AND(OnDemandVsReservedOverview!E135,"AAAAAH9d5uI=")</f>
        <v>#VALUE!</v>
      </c>
      <c r="HT25" t="e">
        <f>AND(OnDemandVsReservedOverview!F135,"AAAAAH9d5uM=")</f>
        <v>#VALUE!</v>
      </c>
      <c r="HU25" t="e">
        <f>AND(OnDemandVsReservedOverview!G135,"AAAAAH9d5uQ=")</f>
        <v>#VALUE!</v>
      </c>
      <c r="HV25">
        <f>IF(OnDemandVsReservedOverview!136:136,"AAAAAH9d5uU=",0)</f>
        <v>0</v>
      </c>
      <c r="HW25" t="e">
        <f>AND(OnDemandVsReservedOverview!A136,"AAAAAH9d5uY=")</f>
        <v>#VALUE!</v>
      </c>
      <c r="HX25" t="e">
        <f>AND(OnDemandVsReservedOverview!B136,"AAAAAH9d5uc=")</f>
        <v>#VALUE!</v>
      </c>
      <c r="HY25" t="e">
        <f>AND(OnDemandVsReservedOverview!C136,"AAAAAH9d5ug=")</f>
        <v>#VALUE!</v>
      </c>
      <c r="HZ25" t="e">
        <f>AND(OnDemandVsReservedOverview!D136,"AAAAAH9d5uk=")</f>
        <v>#VALUE!</v>
      </c>
      <c r="IA25" t="e">
        <f>AND(OnDemandVsReservedOverview!E136,"AAAAAH9d5uo=")</f>
        <v>#VALUE!</v>
      </c>
      <c r="IB25" t="e">
        <f>AND(OnDemandVsReservedOverview!F136,"AAAAAH9d5us=")</f>
        <v>#VALUE!</v>
      </c>
      <c r="IC25" t="e">
        <f>AND(OnDemandVsReservedOverview!G136,"AAAAAH9d5uw=")</f>
        <v>#VALUE!</v>
      </c>
      <c r="ID25">
        <f>IF(OnDemandVsReservedOverview!137:137,"AAAAAH9d5u0=",0)</f>
        <v>0</v>
      </c>
      <c r="IE25" t="e">
        <f>AND(OnDemandVsReservedOverview!A137,"AAAAAH9d5u4=")</f>
        <v>#VALUE!</v>
      </c>
      <c r="IF25" t="e">
        <f>AND(OnDemandVsReservedOverview!B137,"AAAAAH9d5u8=")</f>
        <v>#VALUE!</v>
      </c>
      <c r="IG25" t="e">
        <f>AND(OnDemandVsReservedOverview!C137,"AAAAAH9d5vA=")</f>
        <v>#VALUE!</v>
      </c>
      <c r="IH25" t="e">
        <f>AND(OnDemandVsReservedOverview!D137,"AAAAAH9d5vE=")</f>
        <v>#VALUE!</v>
      </c>
      <c r="II25" t="e">
        <f>AND(OnDemandVsReservedOverview!E137,"AAAAAH9d5vI=")</f>
        <v>#VALUE!</v>
      </c>
      <c r="IJ25" t="e">
        <f>AND(OnDemandVsReservedOverview!F137,"AAAAAH9d5vM=")</f>
        <v>#VALUE!</v>
      </c>
      <c r="IK25" t="e">
        <f>AND(OnDemandVsReservedOverview!G137,"AAAAAH9d5vQ=")</f>
        <v>#VALUE!</v>
      </c>
      <c r="IL25">
        <f>IF(OnDemandVsReservedOverview!138:138,"AAAAAH9d5vU=",0)</f>
        <v>0</v>
      </c>
      <c r="IM25" t="e">
        <f>AND(OnDemandVsReservedOverview!A138,"AAAAAH9d5vY=")</f>
        <v>#VALUE!</v>
      </c>
      <c r="IN25" t="e">
        <f>AND(OnDemandVsReservedOverview!B138,"AAAAAH9d5vc=")</f>
        <v>#VALUE!</v>
      </c>
      <c r="IO25" t="e">
        <f>AND(OnDemandVsReservedOverview!C138,"AAAAAH9d5vg=")</f>
        <v>#VALUE!</v>
      </c>
      <c r="IP25" t="e">
        <f>AND(OnDemandVsReservedOverview!D138,"AAAAAH9d5vk=")</f>
        <v>#VALUE!</v>
      </c>
      <c r="IQ25" t="e">
        <f>AND(OnDemandVsReservedOverview!E138,"AAAAAH9d5vo=")</f>
        <v>#VALUE!</v>
      </c>
      <c r="IR25" t="e">
        <f>AND(OnDemandVsReservedOverview!F138,"AAAAAH9d5vs=")</f>
        <v>#VALUE!</v>
      </c>
      <c r="IS25" t="e">
        <f>AND(OnDemandVsReservedOverview!G138,"AAAAAH9d5vw=")</f>
        <v>#VALUE!</v>
      </c>
      <c r="IT25">
        <f>IF(OnDemandVsReservedOverview!139:139,"AAAAAH9d5v0=",0)</f>
        <v>0</v>
      </c>
      <c r="IU25" t="e">
        <f>AND(OnDemandVsReservedOverview!A139,"AAAAAH9d5v4=")</f>
        <v>#VALUE!</v>
      </c>
      <c r="IV25" t="e">
        <f>AND(OnDemandVsReservedOverview!B139,"AAAAAH9d5v8=")</f>
        <v>#VALUE!</v>
      </c>
    </row>
    <row r="26" spans="1:256" x14ac:dyDescent="0.25">
      <c r="A26" t="e">
        <f>AND(OnDemandVsReservedOverview!C139,"AAAAAD+/+wA=")</f>
        <v>#VALUE!</v>
      </c>
      <c r="B26" t="e">
        <f>AND(OnDemandVsReservedOverview!D139,"AAAAAD+/+wE=")</f>
        <v>#VALUE!</v>
      </c>
      <c r="C26" t="e">
        <f>AND(OnDemandVsReservedOverview!E139,"AAAAAD+/+wI=")</f>
        <v>#VALUE!</v>
      </c>
      <c r="D26" t="e">
        <f>AND(OnDemandVsReservedOverview!F139,"AAAAAD+/+wM=")</f>
        <v>#VALUE!</v>
      </c>
      <c r="E26" t="e">
        <f>AND(OnDemandVsReservedOverview!G139,"AAAAAD+/+wQ=")</f>
        <v>#VALUE!</v>
      </c>
      <c r="F26" t="str">
        <f>IF(OnDemandVsReservedOverview!140:140,"AAAAAD+/+wU=",0)</f>
        <v>AAAAAD+/+wU=</v>
      </c>
      <c r="G26" t="e">
        <f>AND(OnDemandVsReservedOverview!A140,"AAAAAD+/+wY=")</f>
        <v>#VALUE!</v>
      </c>
      <c r="H26" t="e">
        <f>AND(OnDemandVsReservedOverview!B140,"AAAAAD+/+wc=")</f>
        <v>#VALUE!</v>
      </c>
      <c r="I26" t="e">
        <f>AND(OnDemandVsReservedOverview!C140,"AAAAAD+/+wg=")</f>
        <v>#VALUE!</v>
      </c>
      <c r="J26" t="e">
        <f>AND(OnDemandVsReservedOverview!D140,"AAAAAD+/+wk=")</f>
        <v>#VALUE!</v>
      </c>
      <c r="K26" t="e">
        <f>AND(OnDemandVsReservedOverview!E140,"AAAAAD+/+wo=")</f>
        <v>#VALUE!</v>
      </c>
      <c r="L26" t="e">
        <f>AND(OnDemandVsReservedOverview!F140,"AAAAAD+/+ws=")</f>
        <v>#VALUE!</v>
      </c>
      <c r="M26" t="e">
        <f>AND(OnDemandVsReservedOverview!G140,"AAAAAD+/+ww=")</f>
        <v>#VALUE!</v>
      </c>
      <c r="N26">
        <f>IF(OnDemandVsReservedOverview!141:141,"AAAAAD+/+w0=",0)</f>
        <v>0</v>
      </c>
      <c r="O26" t="e">
        <f>AND(OnDemandVsReservedOverview!A141,"AAAAAD+/+w4=")</f>
        <v>#VALUE!</v>
      </c>
      <c r="P26" t="e">
        <f>AND(OnDemandVsReservedOverview!B141,"AAAAAD+/+w8=")</f>
        <v>#VALUE!</v>
      </c>
      <c r="Q26" t="e">
        <f>AND(OnDemandVsReservedOverview!C141,"AAAAAD+/+xA=")</f>
        <v>#VALUE!</v>
      </c>
      <c r="R26" t="e">
        <f>AND(OnDemandVsReservedOverview!D141,"AAAAAD+/+xE=")</f>
        <v>#VALUE!</v>
      </c>
      <c r="S26" t="e">
        <f>AND(OnDemandVsReservedOverview!E141,"AAAAAD+/+xI=")</f>
        <v>#VALUE!</v>
      </c>
      <c r="T26" t="e">
        <f>AND(OnDemandVsReservedOverview!F141,"AAAAAD+/+xM=")</f>
        <v>#VALUE!</v>
      </c>
      <c r="U26" t="e">
        <f>AND(OnDemandVsReservedOverview!G141,"AAAAAD+/+xQ=")</f>
        <v>#VALUE!</v>
      </c>
      <c r="V26">
        <f>IF(OnDemandVsReservedOverview!142:142,"AAAAAD+/+xU=",0)</f>
        <v>0</v>
      </c>
      <c r="W26" t="e">
        <f>AND(OnDemandVsReservedOverview!A142,"AAAAAD+/+xY=")</f>
        <v>#VALUE!</v>
      </c>
      <c r="X26" t="e">
        <f>AND(OnDemandVsReservedOverview!B142,"AAAAAD+/+xc=")</f>
        <v>#VALUE!</v>
      </c>
      <c r="Y26" t="e">
        <f>AND(OnDemandVsReservedOverview!C142,"AAAAAD+/+xg=")</f>
        <v>#VALUE!</v>
      </c>
      <c r="Z26" t="e">
        <f>AND(OnDemandVsReservedOverview!D142,"AAAAAD+/+xk=")</f>
        <v>#VALUE!</v>
      </c>
      <c r="AA26" t="e">
        <f>AND(OnDemandVsReservedOverview!E142,"AAAAAD+/+xo=")</f>
        <v>#VALUE!</v>
      </c>
      <c r="AB26" t="e">
        <f>AND(OnDemandVsReservedOverview!F142,"AAAAAD+/+xs=")</f>
        <v>#VALUE!</v>
      </c>
      <c r="AC26" t="e">
        <f>AND(OnDemandVsReservedOverview!G142,"AAAAAD+/+xw=")</f>
        <v>#VALUE!</v>
      </c>
      <c r="AD26">
        <f>IF(OnDemandVsReservedOverview!143:143,"AAAAAD+/+x0=",0)</f>
        <v>0</v>
      </c>
      <c r="AE26" t="e">
        <f>AND(OnDemandVsReservedOverview!A143,"AAAAAD+/+x4=")</f>
        <v>#VALUE!</v>
      </c>
      <c r="AF26" t="e">
        <f>AND(OnDemandVsReservedOverview!B143,"AAAAAD+/+x8=")</f>
        <v>#VALUE!</v>
      </c>
      <c r="AG26" t="e">
        <f>AND(OnDemandVsReservedOverview!C143,"AAAAAD+/+yA=")</f>
        <v>#VALUE!</v>
      </c>
      <c r="AH26" t="e">
        <f>AND(OnDemandVsReservedOverview!D143,"AAAAAD+/+yE=")</f>
        <v>#VALUE!</v>
      </c>
      <c r="AI26" t="e">
        <f>AND(OnDemandVsReservedOverview!E143,"AAAAAD+/+yI=")</f>
        <v>#VALUE!</v>
      </c>
      <c r="AJ26" t="e">
        <f>AND(OnDemandVsReservedOverview!F143,"AAAAAD+/+yM=")</f>
        <v>#VALUE!</v>
      </c>
      <c r="AK26" t="e">
        <f>AND(OnDemandVsReservedOverview!G143,"AAAAAD+/+yQ=")</f>
        <v>#VALUE!</v>
      </c>
      <c r="AL26">
        <f>IF(OnDemandVsReservedOverview!144:144,"AAAAAD+/+yU=",0)</f>
        <v>0</v>
      </c>
      <c r="AM26" t="e">
        <f>AND(OnDemandVsReservedOverview!A144,"AAAAAD+/+yY=")</f>
        <v>#VALUE!</v>
      </c>
      <c r="AN26" t="e">
        <f>AND(OnDemandVsReservedOverview!B144,"AAAAAD+/+yc=")</f>
        <v>#VALUE!</v>
      </c>
      <c r="AO26" t="e">
        <f>AND(OnDemandVsReservedOverview!C144,"AAAAAD+/+yg=")</f>
        <v>#VALUE!</v>
      </c>
      <c r="AP26" t="e">
        <f>AND(OnDemandVsReservedOverview!D144,"AAAAAD+/+yk=")</f>
        <v>#VALUE!</v>
      </c>
      <c r="AQ26" t="e">
        <f>AND(OnDemandVsReservedOverview!E144,"AAAAAD+/+yo=")</f>
        <v>#VALUE!</v>
      </c>
      <c r="AR26" t="e">
        <f>AND(OnDemandVsReservedOverview!F144,"AAAAAD+/+ys=")</f>
        <v>#VALUE!</v>
      </c>
      <c r="AS26" t="e">
        <f>AND(OnDemandVsReservedOverview!G144,"AAAAAD+/+yw=")</f>
        <v>#VALUE!</v>
      </c>
      <c r="AT26">
        <f>IF(OnDemandVsReservedOverview!145:145,"AAAAAD+/+y0=",0)</f>
        <v>0</v>
      </c>
      <c r="AU26" t="e">
        <f>AND(OnDemandVsReservedOverview!A145,"AAAAAD+/+y4=")</f>
        <v>#VALUE!</v>
      </c>
      <c r="AV26" t="e">
        <f>AND(OnDemandVsReservedOverview!B145,"AAAAAD+/+y8=")</f>
        <v>#VALUE!</v>
      </c>
      <c r="AW26" t="e">
        <f>AND(OnDemandVsReservedOverview!C145,"AAAAAD+/+zA=")</f>
        <v>#VALUE!</v>
      </c>
      <c r="AX26" t="e">
        <f>AND(OnDemandVsReservedOverview!D145,"AAAAAD+/+zE=")</f>
        <v>#VALUE!</v>
      </c>
      <c r="AY26" t="e">
        <f>AND(OnDemandVsReservedOverview!E145,"AAAAAD+/+zI=")</f>
        <v>#VALUE!</v>
      </c>
      <c r="AZ26" t="e">
        <f>AND(OnDemandVsReservedOverview!F145,"AAAAAD+/+zM=")</f>
        <v>#VALUE!</v>
      </c>
      <c r="BA26" t="e">
        <f>AND(OnDemandVsReservedOverview!G145,"AAAAAD+/+zQ=")</f>
        <v>#VALUE!</v>
      </c>
      <c r="BB26">
        <f>IF(OnDemandVsReservedOverview!146:146,"AAAAAD+/+zU=",0)</f>
        <v>0</v>
      </c>
      <c r="BC26" t="e">
        <f>AND(OnDemandVsReservedOverview!A146,"AAAAAD+/+zY=")</f>
        <v>#VALUE!</v>
      </c>
      <c r="BD26" t="e">
        <f>AND(OnDemandVsReservedOverview!B146,"AAAAAD+/+zc=")</f>
        <v>#VALUE!</v>
      </c>
      <c r="BE26" t="e">
        <f>AND(OnDemandVsReservedOverview!C146,"AAAAAD+/+zg=")</f>
        <v>#VALUE!</v>
      </c>
      <c r="BF26" t="e">
        <f>AND(OnDemandVsReservedOverview!D146,"AAAAAD+/+zk=")</f>
        <v>#VALUE!</v>
      </c>
      <c r="BG26" t="e">
        <f>AND(OnDemandVsReservedOverview!E146,"AAAAAD+/+zo=")</f>
        <v>#VALUE!</v>
      </c>
      <c r="BH26" t="e">
        <f>AND(OnDemandVsReservedOverview!F146,"AAAAAD+/+zs=")</f>
        <v>#VALUE!</v>
      </c>
      <c r="BI26" t="e">
        <f>AND(OnDemandVsReservedOverview!G146,"AAAAAD+/+zw=")</f>
        <v>#VALUE!</v>
      </c>
      <c r="BJ26">
        <f>IF(OnDemandVsReservedOverview!147:147,"AAAAAD+/+z0=",0)</f>
        <v>0</v>
      </c>
      <c r="BK26" t="e">
        <f>AND(OnDemandVsReservedOverview!A147,"AAAAAD+/+z4=")</f>
        <v>#VALUE!</v>
      </c>
      <c r="BL26" t="e">
        <f>AND(OnDemandVsReservedOverview!B147,"AAAAAD+/+z8=")</f>
        <v>#VALUE!</v>
      </c>
      <c r="BM26" t="e">
        <f>AND(OnDemandVsReservedOverview!C147,"AAAAAD+/+0A=")</f>
        <v>#VALUE!</v>
      </c>
      <c r="BN26" t="e">
        <f>AND(OnDemandVsReservedOverview!D147,"AAAAAD+/+0E=")</f>
        <v>#VALUE!</v>
      </c>
      <c r="BO26" t="e">
        <f>AND(OnDemandVsReservedOverview!E147,"AAAAAD+/+0I=")</f>
        <v>#VALUE!</v>
      </c>
      <c r="BP26" t="e">
        <f>AND(OnDemandVsReservedOverview!F147,"AAAAAD+/+0M=")</f>
        <v>#VALUE!</v>
      </c>
      <c r="BQ26" t="e">
        <f>AND(OnDemandVsReservedOverview!G147,"AAAAAD+/+0Q=")</f>
        <v>#VALUE!</v>
      </c>
      <c r="BR26">
        <f>IF(OnDemandVsReservedOverview!148:148,"AAAAAD+/+0U=",0)</f>
        <v>0</v>
      </c>
      <c r="BS26" t="e">
        <f>AND(OnDemandVsReservedOverview!A148,"AAAAAD+/+0Y=")</f>
        <v>#VALUE!</v>
      </c>
      <c r="BT26" t="e">
        <f>AND(OnDemandVsReservedOverview!B148,"AAAAAD+/+0c=")</f>
        <v>#VALUE!</v>
      </c>
      <c r="BU26" t="e">
        <f>AND(OnDemandVsReservedOverview!C148,"AAAAAD+/+0g=")</f>
        <v>#VALUE!</v>
      </c>
      <c r="BV26" t="e">
        <f>AND(OnDemandVsReservedOverview!D148,"AAAAAD+/+0k=")</f>
        <v>#VALUE!</v>
      </c>
      <c r="BW26" t="e">
        <f>AND(OnDemandVsReservedOverview!E148,"AAAAAD+/+0o=")</f>
        <v>#VALUE!</v>
      </c>
      <c r="BX26" t="e">
        <f>AND(OnDemandVsReservedOverview!F148,"AAAAAD+/+0s=")</f>
        <v>#VALUE!</v>
      </c>
      <c r="BY26" t="e">
        <f>AND(OnDemandVsReservedOverview!G148,"AAAAAD+/+0w=")</f>
        <v>#VALUE!</v>
      </c>
      <c r="BZ26">
        <f>IF(OnDemandVsReservedOverview!149:149,"AAAAAD+/+00=",0)</f>
        <v>0</v>
      </c>
      <c r="CA26" t="e">
        <f>AND(OnDemandVsReservedOverview!A149,"AAAAAD+/+04=")</f>
        <v>#VALUE!</v>
      </c>
      <c r="CB26" t="e">
        <f>AND(OnDemandVsReservedOverview!B149,"AAAAAD+/+08=")</f>
        <v>#VALUE!</v>
      </c>
      <c r="CC26" t="e">
        <f>AND(OnDemandVsReservedOverview!C149,"AAAAAD+/+1A=")</f>
        <v>#VALUE!</v>
      </c>
      <c r="CD26" t="e">
        <f>AND(OnDemandVsReservedOverview!D149,"AAAAAD+/+1E=")</f>
        <v>#VALUE!</v>
      </c>
      <c r="CE26" t="e">
        <f>AND(OnDemandVsReservedOverview!E149,"AAAAAD+/+1I=")</f>
        <v>#VALUE!</v>
      </c>
      <c r="CF26" t="e">
        <f>AND(OnDemandVsReservedOverview!F149,"AAAAAD+/+1M=")</f>
        <v>#VALUE!</v>
      </c>
      <c r="CG26" t="e">
        <f>AND(OnDemandVsReservedOverview!G149,"AAAAAD+/+1Q=")</f>
        <v>#VALUE!</v>
      </c>
      <c r="CH26">
        <f>IF(OnDemandVsReservedOverview!150:150,"AAAAAD+/+1U=",0)</f>
        <v>0</v>
      </c>
      <c r="CI26" t="e">
        <f>AND(OnDemandVsReservedOverview!A150,"AAAAAD+/+1Y=")</f>
        <v>#VALUE!</v>
      </c>
      <c r="CJ26" t="e">
        <f>AND(OnDemandVsReservedOverview!B150,"AAAAAD+/+1c=")</f>
        <v>#VALUE!</v>
      </c>
      <c r="CK26" t="e">
        <f>AND(OnDemandVsReservedOverview!C150,"AAAAAD+/+1g=")</f>
        <v>#VALUE!</v>
      </c>
      <c r="CL26" t="e">
        <f>AND(OnDemandVsReservedOverview!D150,"AAAAAD+/+1k=")</f>
        <v>#VALUE!</v>
      </c>
      <c r="CM26" t="e">
        <f>AND(OnDemandVsReservedOverview!E150,"AAAAAD+/+1o=")</f>
        <v>#VALUE!</v>
      </c>
      <c r="CN26" t="e">
        <f>AND(OnDemandVsReservedOverview!F150,"AAAAAD+/+1s=")</f>
        <v>#VALUE!</v>
      </c>
      <c r="CO26" t="e">
        <f>AND(OnDemandVsReservedOverview!G150,"AAAAAD+/+1w=")</f>
        <v>#VALUE!</v>
      </c>
      <c r="CP26">
        <f>IF(OnDemandVsReservedOverview!151:151,"AAAAAD+/+10=",0)</f>
        <v>0</v>
      </c>
      <c r="CQ26" t="e">
        <f>AND(OnDemandVsReservedOverview!A151,"AAAAAD+/+14=")</f>
        <v>#VALUE!</v>
      </c>
      <c r="CR26" t="e">
        <f>AND(OnDemandVsReservedOverview!B151,"AAAAAD+/+18=")</f>
        <v>#VALUE!</v>
      </c>
      <c r="CS26" t="e">
        <f>AND(OnDemandVsReservedOverview!C151,"AAAAAD+/+2A=")</f>
        <v>#VALUE!</v>
      </c>
      <c r="CT26" t="e">
        <f>AND(OnDemandVsReservedOverview!D151,"AAAAAD+/+2E=")</f>
        <v>#VALUE!</v>
      </c>
      <c r="CU26" t="e">
        <f>AND(OnDemandVsReservedOverview!E151,"AAAAAD+/+2I=")</f>
        <v>#VALUE!</v>
      </c>
      <c r="CV26" t="e">
        <f>AND(OnDemandVsReservedOverview!F151,"AAAAAD+/+2M=")</f>
        <v>#VALUE!</v>
      </c>
      <c r="CW26" t="e">
        <f>AND(OnDemandVsReservedOverview!G151,"AAAAAD+/+2Q=")</f>
        <v>#VALUE!</v>
      </c>
      <c r="CX26">
        <f>IF(OnDemandVsReservedOverview!152:152,"AAAAAD+/+2U=",0)</f>
        <v>0</v>
      </c>
      <c r="CY26" t="e">
        <f>AND(OnDemandVsReservedOverview!A152,"AAAAAD+/+2Y=")</f>
        <v>#VALUE!</v>
      </c>
      <c r="CZ26" t="e">
        <f>AND(OnDemandVsReservedOverview!B152,"AAAAAD+/+2c=")</f>
        <v>#VALUE!</v>
      </c>
      <c r="DA26" t="e">
        <f>AND(OnDemandVsReservedOverview!C152,"AAAAAD+/+2g=")</f>
        <v>#VALUE!</v>
      </c>
      <c r="DB26" t="e">
        <f>AND(OnDemandVsReservedOverview!D152,"AAAAAD+/+2k=")</f>
        <v>#VALUE!</v>
      </c>
      <c r="DC26" t="e">
        <f>AND(OnDemandVsReservedOverview!E152,"AAAAAD+/+2o=")</f>
        <v>#VALUE!</v>
      </c>
      <c r="DD26" t="e">
        <f>AND(OnDemandVsReservedOverview!F152,"AAAAAD+/+2s=")</f>
        <v>#VALUE!</v>
      </c>
      <c r="DE26" t="e">
        <f>AND(OnDemandVsReservedOverview!G152,"AAAAAD+/+2w=")</f>
        <v>#VALUE!</v>
      </c>
      <c r="DF26">
        <f>IF(OnDemandVsReservedOverview!153:153,"AAAAAD+/+20=",0)</f>
        <v>0</v>
      </c>
      <c r="DG26" t="e">
        <f>AND(OnDemandVsReservedOverview!A153,"AAAAAD+/+24=")</f>
        <v>#VALUE!</v>
      </c>
      <c r="DH26" t="e">
        <f>AND(OnDemandVsReservedOverview!B153,"AAAAAD+/+28=")</f>
        <v>#VALUE!</v>
      </c>
      <c r="DI26" t="e">
        <f>AND(OnDemandVsReservedOverview!C153,"AAAAAD+/+3A=")</f>
        <v>#VALUE!</v>
      </c>
      <c r="DJ26" t="e">
        <f>AND(OnDemandVsReservedOverview!D153,"AAAAAD+/+3E=")</f>
        <v>#VALUE!</v>
      </c>
      <c r="DK26" t="e">
        <f>AND(OnDemandVsReservedOverview!E153,"AAAAAD+/+3I=")</f>
        <v>#VALUE!</v>
      </c>
      <c r="DL26" t="e">
        <f>AND(OnDemandVsReservedOverview!F153,"AAAAAD+/+3M=")</f>
        <v>#VALUE!</v>
      </c>
      <c r="DM26" t="e">
        <f>AND(OnDemandVsReservedOverview!G153,"AAAAAD+/+3Q=")</f>
        <v>#VALUE!</v>
      </c>
      <c r="DN26">
        <f>IF(OnDemandVsReservedOverview!154:154,"AAAAAD+/+3U=",0)</f>
        <v>0</v>
      </c>
      <c r="DO26" t="e">
        <f>AND(OnDemandVsReservedOverview!A154,"AAAAAD+/+3Y=")</f>
        <v>#VALUE!</v>
      </c>
      <c r="DP26" t="e">
        <f>AND(OnDemandVsReservedOverview!B154,"AAAAAD+/+3c=")</f>
        <v>#VALUE!</v>
      </c>
      <c r="DQ26" t="e">
        <f>AND(OnDemandVsReservedOverview!C154,"AAAAAD+/+3g=")</f>
        <v>#VALUE!</v>
      </c>
      <c r="DR26" t="e">
        <f>AND(OnDemandVsReservedOverview!D154,"AAAAAD+/+3k=")</f>
        <v>#VALUE!</v>
      </c>
      <c r="DS26" t="e">
        <f>AND(OnDemandVsReservedOverview!E154,"AAAAAD+/+3o=")</f>
        <v>#VALUE!</v>
      </c>
      <c r="DT26" t="e">
        <f>AND(OnDemandVsReservedOverview!F154,"AAAAAD+/+3s=")</f>
        <v>#VALUE!</v>
      </c>
      <c r="DU26" t="e">
        <f>AND(OnDemandVsReservedOverview!G154,"AAAAAD+/+3w=")</f>
        <v>#VALUE!</v>
      </c>
      <c r="DV26">
        <f>IF(OnDemandVsReservedOverview!155:155,"AAAAAD+/+30=",0)</f>
        <v>0</v>
      </c>
      <c r="DW26" t="e">
        <f>AND(OnDemandVsReservedOverview!A155,"AAAAAD+/+34=")</f>
        <v>#VALUE!</v>
      </c>
      <c r="DX26" t="e">
        <f>AND(OnDemandVsReservedOverview!B155,"AAAAAD+/+38=")</f>
        <v>#VALUE!</v>
      </c>
      <c r="DY26" t="e">
        <f>AND(OnDemandVsReservedOverview!C155,"AAAAAD+/+4A=")</f>
        <v>#VALUE!</v>
      </c>
      <c r="DZ26" t="e">
        <f>AND(OnDemandVsReservedOverview!D155,"AAAAAD+/+4E=")</f>
        <v>#VALUE!</v>
      </c>
      <c r="EA26" t="e">
        <f>AND(OnDemandVsReservedOverview!E155,"AAAAAD+/+4I=")</f>
        <v>#VALUE!</v>
      </c>
      <c r="EB26" t="e">
        <f>AND(OnDemandVsReservedOverview!F155,"AAAAAD+/+4M=")</f>
        <v>#VALUE!</v>
      </c>
      <c r="EC26" t="e">
        <f>AND(OnDemandVsReservedOverview!G155,"AAAAAD+/+4Q=")</f>
        <v>#VALUE!</v>
      </c>
      <c r="ED26">
        <f>IF(OnDemandVsReservedOverview!156:156,"AAAAAD+/+4U=",0)</f>
        <v>0</v>
      </c>
      <c r="EE26" t="e">
        <f>AND(OnDemandVsReservedOverview!A156,"AAAAAD+/+4Y=")</f>
        <v>#VALUE!</v>
      </c>
      <c r="EF26" t="e">
        <f>AND(OnDemandVsReservedOverview!B156,"AAAAAD+/+4c=")</f>
        <v>#VALUE!</v>
      </c>
      <c r="EG26" t="e">
        <f>AND(OnDemandVsReservedOverview!C156,"AAAAAD+/+4g=")</f>
        <v>#VALUE!</v>
      </c>
      <c r="EH26" t="e">
        <f>AND(OnDemandVsReservedOverview!D156,"AAAAAD+/+4k=")</f>
        <v>#VALUE!</v>
      </c>
      <c r="EI26" t="e">
        <f>AND(OnDemandVsReservedOverview!E156,"AAAAAD+/+4o=")</f>
        <v>#VALUE!</v>
      </c>
      <c r="EJ26" t="e">
        <f>AND(OnDemandVsReservedOverview!F156,"AAAAAD+/+4s=")</f>
        <v>#VALUE!</v>
      </c>
      <c r="EK26" t="e">
        <f>AND(OnDemandVsReservedOverview!G156,"AAAAAD+/+4w=")</f>
        <v>#VALUE!</v>
      </c>
      <c r="EL26">
        <f>IF(OnDemandVsReservedOverview!157:157,"AAAAAD+/+40=",0)</f>
        <v>0</v>
      </c>
      <c r="EM26" t="e">
        <f>AND(OnDemandVsReservedOverview!A157,"AAAAAD+/+44=")</f>
        <v>#VALUE!</v>
      </c>
      <c r="EN26" t="e">
        <f>AND(OnDemandVsReservedOverview!B157,"AAAAAD+/+48=")</f>
        <v>#VALUE!</v>
      </c>
      <c r="EO26" t="e">
        <f>AND(OnDemandVsReservedOverview!C157,"AAAAAD+/+5A=")</f>
        <v>#VALUE!</v>
      </c>
      <c r="EP26" t="e">
        <f>AND(OnDemandVsReservedOverview!D157,"AAAAAD+/+5E=")</f>
        <v>#VALUE!</v>
      </c>
      <c r="EQ26" t="e">
        <f>AND(OnDemandVsReservedOverview!E157,"AAAAAD+/+5I=")</f>
        <v>#VALUE!</v>
      </c>
      <c r="ER26" t="e">
        <f>AND(OnDemandVsReservedOverview!F157,"AAAAAD+/+5M=")</f>
        <v>#VALUE!</v>
      </c>
      <c r="ES26" t="e">
        <f>AND(OnDemandVsReservedOverview!G157,"AAAAAD+/+5Q=")</f>
        <v>#VALUE!</v>
      </c>
      <c r="ET26">
        <f>IF(OnDemandVsReservedOverview!158:158,"AAAAAD+/+5U=",0)</f>
        <v>0</v>
      </c>
      <c r="EU26" t="e">
        <f>AND(OnDemandVsReservedOverview!A158,"AAAAAD+/+5Y=")</f>
        <v>#VALUE!</v>
      </c>
      <c r="EV26" t="e">
        <f>AND(OnDemandVsReservedOverview!B158,"AAAAAD+/+5c=")</f>
        <v>#VALUE!</v>
      </c>
      <c r="EW26" t="e">
        <f>AND(OnDemandVsReservedOverview!C158,"AAAAAD+/+5g=")</f>
        <v>#VALUE!</v>
      </c>
      <c r="EX26" t="e">
        <f>AND(OnDemandVsReservedOverview!D158,"AAAAAD+/+5k=")</f>
        <v>#VALUE!</v>
      </c>
      <c r="EY26" t="e">
        <f>AND(OnDemandVsReservedOverview!E158,"AAAAAD+/+5o=")</f>
        <v>#VALUE!</v>
      </c>
      <c r="EZ26" t="e">
        <f>AND(OnDemandVsReservedOverview!F158,"AAAAAD+/+5s=")</f>
        <v>#VALUE!</v>
      </c>
      <c r="FA26" t="e">
        <f>AND(OnDemandVsReservedOverview!G158,"AAAAAD+/+5w=")</f>
        <v>#VALUE!</v>
      </c>
      <c r="FB26">
        <f>IF(OnDemandVsReservedOverview!159:159,"AAAAAD+/+50=",0)</f>
        <v>0</v>
      </c>
      <c r="FC26" t="e">
        <f>AND(OnDemandVsReservedOverview!A159,"AAAAAD+/+54=")</f>
        <v>#VALUE!</v>
      </c>
      <c r="FD26" t="e">
        <f>AND(OnDemandVsReservedOverview!B159,"AAAAAD+/+58=")</f>
        <v>#VALUE!</v>
      </c>
      <c r="FE26" t="e">
        <f>AND(OnDemandVsReservedOverview!C159,"AAAAAD+/+6A=")</f>
        <v>#VALUE!</v>
      </c>
      <c r="FF26" t="e">
        <f>AND(OnDemandVsReservedOverview!D159,"AAAAAD+/+6E=")</f>
        <v>#VALUE!</v>
      </c>
      <c r="FG26" t="e">
        <f>AND(OnDemandVsReservedOverview!E159,"AAAAAD+/+6I=")</f>
        <v>#VALUE!</v>
      </c>
      <c r="FH26" t="e">
        <f>AND(OnDemandVsReservedOverview!F159,"AAAAAD+/+6M=")</f>
        <v>#VALUE!</v>
      </c>
      <c r="FI26" t="e">
        <f>AND(OnDemandVsReservedOverview!G159,"AAAAAD+/+6Q=")</f>
        <v>#VALUE!</v>
      </c>
      <c r="FJ26">
        <f>IF(OnDemandVsReservedOverview!160:160,"AAAAAD+/+6U=",0)</f>
        <v>0</v>
      </c>
      <c r="FK26" t="e">
        <f>AND(OnDemandVsReservedOverview!A160,"AAAAAD+/+6Y=")</f>
        <v>#VALUE!</v>
      </c>
      <c r="FL26" t="e">
        <f>AND(OnDemandVsReservedOverview!B160,"AAAAAD+/+6c=")</f>
        <v>#VALUE!</v>
      </c>
      <c r="FM26" t="e">
        <f>AND(OnDemandVsReservedOverview!C160,"AAAAAD+/+6g=")</f>
        <v>#VALUE!</v>
      </c>
      <c r="FN26" t="e">
        <f>AND(OnDemandVsReservedOverview!D160,"AAAAAD+/+6k=")</f>
        <v>#VALUE!</v>
      </c>
      <c r="FO26" t="e">
        <f>AND(OnDemandVsReservedOverview!E160,"AAAAAD+/+6o=")</f>
        <v>#VALUE!</v>
      </c>
      <c r="FP26" t="e">
        <f>AND(OnDemandVsReservedOverview!F160,"AAAAAD+/+6s=")</f>
        <v>#VALUE!</v>
      </c>
      <c r="FQ26" t="e">
        <f>AND(OnDemandVsReservedOverview!G160,"AAAAAD+/+6w=")</f>
        <v>#VALUE!</v>
      </c>
      <c r="FR26">
        <f>IF(OnDemandVsReservedOverview!161:161,"AAAAAD+/+60=",0)</f>
        <v>0</v>
      </c>
      <c r="FS26" t="e">
        <f>AND(OnDemandVsReservedOverview!A161,"AAAAAD+/+64=")</f>
        <v>#VALUE!</v>
      </c>
      <c r="FT26" t="e">
        <f>AND(OnDemandVsReservedOverview!B161,"AAAAAD+/+68=")</f>
        <v>#VALUE!</v>
      </c>
      <c r="FU26" t="e">
        <f>AND(OnDemandVsReservedOverview!C161,"AAAAAD+/+7A=")</f>
        <v>#VALUE!</v>
      </c>
      <c r="FV26" t="e">
        <f>AND(OnDemandVsReservedOverview!D161,"AAAAAD+/+7E=")</f>
        <v>#VALUE!</v>
      </c>
      <c r="FW26" t="e">
        <f>AND(OnDemandVsReservedOverview!E161,"AAAAAD+/+7I=")</f>
        <v>#VALUE!</v>
      </c>
      <c r="FX26" t="e">
        <f>AND(OnDemandVsReservedOverview!F161,"AAAAAD+/+7M=")</f>
        <v>#VALUE!</v>
      </c>
      <c r="FY26" t="e">
        <f>AND(OnDemandVsReservedOverview!G161,"AAAAAD+/+7Q=")</f>
        <v>#VALUE!</v>
      </c>
      <c r="FZ26">
        <f>IF(OnDemandVsReservedOverview!162:162,"AAAAAD+/+7U=",0)</f>
        <v>0</v>
      </c>
      <c r="GA26" t="e">
        <f>AND(OnDemandVsReservedOverview!A162,"AAAAAD+/+7Y=")</f>
        <v>#VALUE!</v>
      </c>
      <c r="GB26" t="e">
        <f>AND(OnDemandVsReservedOverview!B162,"AAAAAD+/+7c=")</f>
        <v>#VALUE!</v>
      </c>
      <c r="GC26" t="e">
        <f>AND(OnDemandVsReservedOverview!C162,"AAAAAD+/+7g=")</f>
        <v>#VALUE!</v>
      </c>
      <c r="GD26" t="e">
        <f>AND(OnDemandVsReservedOverview!D162,"AAAAAD+/+7k=")</f>
        <v>#VALUE!</v>
      </c>
      <c r="GE26" t="e">
        <f>AND(OnDemandVsReservedOverview!E162,"AAAAAD+/+7o=")</f>
        <v>#VALUE!</v>
      </c>
      <c r="GF26" t="e">
        <f>AND(OnDemandVsReservedOverview!F162,"AAAAAD+/+7s=")</f>
        <v>#VALUE!</v>
      </c>
      <c r="GG26" t="e">
        <f>AND(OnDemandVsReservedOverview!G162,"AAAAAD+/+7w=")</f>
        <v>#VALUE!</v>
      </c>
      <c r="GH26">
        <f>IF(OnDemandVsReservedOverview!163:163,"AAAAAD+/+70=",0)</f>
        <v>0</v>
      </c>
      <c r="GI26" t="e">
        <f>AND(OnDemandVsReservedOverview!A163,"AAAAAD+/+74=")</f>
        <v>#VALUE!</v>
      </c>
      <c r="GJ26" t="e">
        <f>AND(OnDemandVsReservedOverview!B163,"AAAAAD+/+78=")</f>
        <v>#VALUE!</v>
      </c>
      <c r="GK26" t="e">
        <f>AND(OnDemandVsReservedOverview!C163,"AAAAAD+/+8A=")</f>
        <v>#VALUE!</v>
      </c>
      <c r="GL26" t="e">
        <f>AND(OnDemandVsReservedOverview!D163,"AAAAAD+/+8E=")</f>
        <v>#VALUE!</v>
      </c>
      <c r="GM26" t="e">
        <f>AND(OnDemandVsReservedOverview!E163,"AAAAAD+/+8I=")</f>
        <v>#VALUE!</v>
      </c>
      <c r="GN26" t="e">
        <f>AND(OnDemandVsReservedOverview!F163,"AAAAAD+/+8M=")</f>
        <v>#VALUE!</v>
      </c>
      <c r="GO26" t="e">
        <f>AND(OnDemandVsReservedOverview!G163,"AAAAAD+/+8Q=")</f>
        <v>#VALUE!</v>
      </c>
      <c r="GP26">
        <f>IF(OnDemandVsReservedOverview!164:164,"AAAAAD+/+8U=",0)</f>
        <v>0</v>
      </c>
      <c r="GQ26" t="e">
        <f>AND(OnDemandVsReservedOverview!A164,"AAAAAD+/+8Y=")</f>
        <v>#VALUE!</v>
      </c>
      <c r="GR26" t="e">
        <f>AND(OnDemandVsReservedOverview!B164,"AAAAAD+/+8c=")</f>
        <v>#VALUE!</v>
      </c>
      <c r="GS26" t="e">
        <f>AND(OnDemandVsReservedOverview!C164,"AAAAAD+/+8g=")</f>
        <v>#VALUE!</v>
      </c>
      <c r="GT26" t="e">
        <f>AND(OnDemandVsReservedOverview!D164,"AAAAAD+/+8k=")</f>
        <v>#VALUE!</v>
      </c>
      <c r="GU26" t="e">
        <f>AND(OnDemandVsReservedOverview!E164,"AAAAAD+/+8o=")</f>
        <v>#VALUE!</v>
      </c>
      <c r="GV26" t="e">
        <f>AND(OnDemandVsReservedOverview!F164,"AAAAAD+/+8s=")</f>
        <v>#VALUE!</v>
      </c>
      <c r="GW26" t="e">
        <f>AND(OnDemandVsReservedOverview!G164,"AAAAAD+/+8w=")</f>
        <v>#VALUE!</v>
      </c>
      <c r="GX26">
        <f>IF(OnDemandVsReservedOverview!165:165,"AAAAAD+/+80=",0)</f>
        <v>0</v>
      </c>
      <c r="GY26" t="e">
        <f>AND(OnDemandVsReservedOverview!A165,"AAAAAD+/+84=")</f>
        <v>#VALUE!</v>
      </c>
      <c r="GZ26" t="e">
        <f>AND(OnDemandVsReservedOverview!B165,"AAAAAD+/+88=")</f>
        <v>#VALUE!</v>
      </c>
      <c r="HA26" t="e">
        <f>AND(OnDemandVsReservedOverview!C165,"AAAAAD+/+9A=")</f>
        <v>#VALUE!</v>
      </c>
      <c r="HB26" t="e">
        <f>AND(OnDemandVsReservedOverview!D165,"AAAAAD+/+9E=")</f>
        <v>#VALUE!</v>
      </c>
      <c r="HC26" t="e">
        <f>AND(OnDemandVsReservedOverview!E165,"AAAAAD+/+9I=")</f>
        <v>#VALUE!</v>
      </c>
      <c r="HD26" t="e">
        <f>AND(OnDemandVsReservedOverview!F165,"AAAAAD+/+9M=")</f>
        <v>#VALUE!</v>
      </c>
      <c r="HE26" t="e">
        <f>AND(OnDemandVsReservedOverview!G165,"AAAAAD+/+9Q=")</f>
        <v>#VALUE!</v>
      </c>
      <c r="HF26">
        <f>IF(OnDemandVsReservedOverview!166:166,"AAAAAD+/+9U=",0)</f>
        <v>0</v>
      </c>
      <c r="HG26" t="e">
        <f>AND(OnDemandVsReservedOverview!A166,"AAAAAD+/+9Y=")</f>
        <v>#VALUE!</v>
      </c>
      <c r="HH26" t="e">
        <f>AND(OnDemandVsReservedOverview!B166,"AAAAAD+/+9c=")</f>
        <v>#VALUE!</v>
      </c>
      <c r="HI26" t="e">
        <f>AND(OnDemandVsReservedOverview!C166,"AAAAAD+/+9g=")</f>
        <v>#VALUE!</v>
      </c>
      <c r="HJ26" t="e">
        <f>AND(OnDemandVsReservedOverview!D166,"AAAAAD+/+9k=")</f>
        <v>#VALUE!</v>
      </c>
      <c r="HK26" t="e">
        <f>AND(OnDemandVsReservedOverview!E166,"AAAAAD+/+9o=")</f>
        <v>#VALUE!</v>
      </c>
      <c r="HL26" t="e">
        <f>AND(OnDemandVsReservedOverview!F166,"AAAAAD+/+9s=")</f>
        <v>#VALUE!</v>
      </c>
      <c r="HM26" t="e">
        <f>AND(OnDemandVsReservedOverview!G166,"AAAAAD+/+9w=")</f>
        <v>#VALUE!</v>
      </c>
      <c r="HN26">
        <f>IF(OnDemandVsReservedOverview!167:167,"AAAAAD+/+90=",0)</f>
        <v>0</v>
      </c>
      <c r="HO26" t="e">
        <f>AND(OnDemandVsReservedOverview!A167,"AAAAAD+/+94=")</f>
        <v>#VALUE!</v>
      </c>
      <c r="HP26" t="e">
        <f>AND(OnDemandVsReservedOverview!B167,"AAAAAD+/+98=")</f>
        <v>#VALUE!</v>
      </c>
      <c r="HQ26" t="e">
        <f>AND(OnDemandVsReservedOverview!C167,"AAAAAD+/++A=")</f>
        <v>#VALUE!</v>
      </c>
      <c r="HR26" t="e">
        <f>AND(OnDemandVsReservedOverview!D167,"AAAAAD+/++E=")</f>
        <v>#VALUE!</v>
      </c>
      <c r="HS26" t="e">
        <f>AND(OnDemandVsReservedOverview!E167,"AAAAAD+/++I=")</f>
        <v>#VALUE!</v>
      </c>
      <c r="HT26" t="e">
        <f>AND(OnDemandVsReservedOverview!F167,"AAAAAD+/++M=")</f>
        <v>#VALUE!</v>
      </c>
      <c r="HU26" t="e">
        <f>AND(OnDemandVsReservedOverview!G167,"AAAAAD+/++Q=")</f>
        <v>#VALUE!</v>
      </c>
      <c r="HV26">
        <f>IF(OnDemandVsReservedOverview!168:168,"AAAAAD+/++U=",0)</f>
        <v>0</v>
      </c>
      <c r="HW26" t="e">
        <f>AND(OnDemandVsReservedOverview!A168,"AAAAAD+/++Y=")</f>
        <v>#VALUE!</v>
      </c>
      <c r="HX26" t="e">
        <f>AND(OnDemandVsReservedOverview!B168,"AAAAAD+/++c=")</f>
        <v>#VALUE!</v>
      </c>
      <c r="HY26" t="e">
        <f>AND(OnDemandVsReservedOverview!C168,"AAAAAD+/++g=")</f>
        <v>#VALUE!</v>
      </c>
      <c r="HZ26" t="e">
        <f>AND(OnDemandVsReservedOverview!D168,"AAAAAD+/++k=")</f>
        <v>#VALUE!</v>
      </c>
      <c r="IA26" t="e">
        <f>AND(OnDemandVsReservedOverview!E168,"AAAAAD+/++o=")</f>
        <v>#VALUE!</v>
      </c>
      <c r="IB26" t="e">
        <f>AND(OnDemandVsReservedOverview!F168,"AAAAAD+/++s=")</f>
        <v>#VALUE!</v>
      </c>
      <c r="IC26" t="e">
        <f>AND(OnDemandVsReservedOverview!G168,"AAAAAD+/++w=")</f>
        <v>#VALUE!</v>
      </c>
      <c r="ID26">
        <f>IF(OnDemandVsReservedOverview!169:169,"AAAAAD+/++0=",0)</f>
        <v>0</v>
      </c>
      <c r="IE26" t="e">
        <f>AND(OnDemandVsReservedOverview!A169,"AAAAAD+/++4=")</f>
        <v>#VALUE!</v>
      </c>
      <c r="IF26" t="e">
        <f>AND(OnDemandVsReservedOverview!B169,"AAAAAD+/++8=")</f>
        <v>#VALUE!</v>
      </c>
      <c r="IG26" t="e">
        <f>AND(OnDemandVsReservedOverview!C169,"AAAAAD+/+/A=")</f>
        <v>#VALUE!</v>
      </c>
      <c r="IH26" t="e">
        <f>AND(OnDemandVsReservedOverview!D169,"AAAAAD+/+/E=")</f>
        <v>#VALUE!</v>
      </c>
      <c r="II26" t="e">
        <f>AND(OnDemandVsReservedOverview!E169,"AAAAAD+/+/I=")</f>
        <v>#VALUE!</v>
      </c>
      <c r="IJ26" t="e">
        <f>AND(OnDemandVsReservedOverview!F169,"AAAAAD+/+/M=")</f>
        <v>#VALUE!</v>
      </c>
      <c r="IK26" t="e">
        <f>AND(OnDemandVsReservedOverview!G169,"AAAAAD+/+/Q=")</f>
        <v>#VALUE!</v>
      </c>
      <c r="IL26">
        <f>IF(OnDemandVsReservedOverview!170:170,"AAAAAD+/+/U=",0)</f>
        <v>0</v>
      </c>
      <c r="IM26" t="e">
        <f>AND(OnDemandVsReservedOverview!A170,"AAAAAD+/+/Y=")</f>
        <v>#VALUE!</v>
      </c>
      <c r="IN26" t="e">
        <f>AND(OnDemandVsReservedOverview!B170,"AAAAAD+/+/c=")</f>
        <v>#VALUE!</v>
      </c>
      <c r="IO26" t="e">
        <f>AND(OnDemandVsReservedOverview!C170,"AAAAAD+/+/g=")</f>
        <v>#VALUE!</v>
      </c>
      <c r="IP26" t="e">
        <f>AND(OnDemandVsReservedOverview!D170,"AAAAAD+/+/k=")</f>
        <v>#VALUE!</v>
      </c>
      <c r="IQ26" t="e">
        <f>AND(OnDemandVsReservedOverview!E170,"AAAAAD+/+/o=")</f>
        <v>#VALUE!</v>
      </c>
      <c r="IR26" t="e">
        <f>AND(OnDemandVsReservedOverview!F170,"AAAAAD+/+/s=")</f>
        <v>#VALUE!</v>
      </c>
      <c r="IS26" t="e">
        <f>AND(OnDemandVsReservedOverview!G170,"AAAAAD+/+/w=")</f>
        <v>#VALUE!</v>
      </c>
      <c r="IT26">
        <f>IF(OnDemandVsReservedOverview!171:171,"AAAAAD+/+/0=",0)</f>
        <v>0</v>
      </c>
      <c r="IU26" t="e">
        <f>AND(OnDemandVsReservedOverview!A171,"AAAAAD+/+/4=")</f>
        <v>#VALUE!</v>
      </c>
      <c r="IV26" t="e">
        <f>AND(OnDemandVsReservedOverview!B171,"AAAAAD+/+/8=")</f>
        <v>#VALUE!</v>
      </c>
    </row>
    <row r="27" spans="1:256" x14ac:dyDescent="0.25">
      <c r="A27" t="e">
        <f>AND(OnDemandVsReservedOverview!C171,"AAAAABa7UQA=")</f>
        <v>#VALUE!</v>
      </c>
      <c r="B27" t="e">
        <f>AND(OnDemandVsReservedOverview!D171,"AAAAABa7UQE=")</f>
        <v>#VALUE!</v>
      </c>
      <c r="C27" t="e">
        <f>AND(OnDemandVsReservedOverview!E171,"AAAAABa7UQI=")</f>
        <v>#VALUE!</v>
      </c>
      <c r="D27" t="e">
        <f>AND(OnDemandVsReservedOverview!F171,"AAAAABa7UQM=")</f>
        <v>#VALUE!</v>
      </c>
      <c r="E27" t="e">
        <f>AND(OnDemandVsReservedOverview!G171,"AAAAABa7UQQ=")</f>
        <v>#VALUE!</v>
      </c>
      <c r="F27" t="e">
        <f>IF(OnDemandVsReservedOverview!172:172,"AAAAABa7UQU=",0)</f>
        <v>#VALUE!</v>
      </c>
      <c r="G27" t="e">
        <f>AND(OnDemandVsReservedOverview!A172,"AAAAABa7UQY=")</f>
        <v>#VALUE!</v>
      </c>
      <c r="H27" t="e">
        <f>AND(OnDemandVsReservedOverview!B172,"AAAAABa7UQc=")</f>
        <v>#VALUE!</v>
      </c>
      <c r="I27" t="e">
        <f>AND(OnDemandVsReservedOverview!C172,"AAAAABa7UQg=")</f>
        <v>#VALUE!</v>
      </c>
      <c r="J27" t="e">
        <f>AND(OnDemandVsReservedOverview!D172,"AAAAABa7UQk=")</f>
        <v>#VALUE!</v>
      </c>
      <c r="K27" t="e">
        <f>AND(OnDemandVsReservedOverview!E172,"AAAAABa7UQo=")</f>
        <v>#VALUE!</v>
      </c>
      <c r="L27" t="e">
        <f>AND(OnDemandVsReservedOverview!F172,"AAAAABa7UQs=")</f>
        <v>#VALUE!</v>
      </c>
      <c r="M27" t="e">
        <f>AND(OnDemandVsReservedOverview!G172,"AAAAABa7UQw=")</f>
        <v>#VALUE!</v>
      </c>
      <c r="N27" t="e">
        <f>IF(OnDemandVsReservedOverview!A:A,"AAAAABa7UQ0=",0)</f>
        <v>#VALUE!</v>
      </c>
      <c r="O27" t="str">
        <f>IF(OnDemandVsReservedOverview!B:B,"AAAAABa7UQ4=",0)</f>
        <v>AAAAABa7UQ4=</v>
      </c>
      <c r="P27" t="str">
        <f>IF(OnDemandVsReservedOverview!C:C,"AAAAABa7UQ8=",0)</f>
        <v>AAAAABa7UQ8=</v>
      </c>
      <c r="Q27" t="str">
        <f>IF(OnDemandVsReservedOverview!D:D,"AAAAABa7URA=",0)</f>
        <v>AAAAABa7URA=</v>
      </c>
      <c r="R27" t="str">
        <f>IF(OnDemandVsReservedOverview!E:E,"AAAAABa7URE=",0)</f>
        <v>AAAAABa7URE=</v>
      </c>
      <c r="S27" t="str">
        <f>IF(OnDemandVsReservedOverview!F:F,"AAAAABa7URI=",0)</f>
        <v>AAAAABa7URI=</v>
      </c>
      <c r="T27" t="str">
        <f>IF(OnDemandVsReservedOverview!G:G,"AAAAABa7URM=",0)</f>
        <v>AAAAABa7URM=</v>
      </c>
      <c r="U27">
        <f>IF(OnDemandVsReservedPercentage!1:1,"AAAAABa7URQ=",0)</f>
        <v>0</v>
      </c>
      <c r="V27" t="e">
        <f>AND(OnDemandVsReservedPercentage!A1,"AAAAABa7URU=")</f>
        <v>#VALUE!</v>
      </c>
      <c r="W27" t="e">
        <f>AND(OnDemandVsReservedPercentage!B1,"AAAAABa7URY=")</f>
        <v>#VALUE!</v>
      </c>
      <c r="X27" t="e">
        <f>AND(OnDemandVsReservedPercentage!C1,"AAAAABa7URc=")</f>
        <v>#VALUE!</v>
      </c>
      <c r="Y27" t="e">
        <f>AND(OnDemandVsReservedPercentage!D1,"AAAAABa7URg=")</f>
        <v>#VALUE!</v>
      </c>
      <c r="Z27" t="e">
        <f>AND(OnDemandVsReservedPercentage!E1,"AAAAABa7URk=")</f>
        <v>#VALUE!</v>
      </c>
      <c r="AA27">
        <f>IF(OnDemandVsReservedPercentage!2:2,"AAAAABa7URo=",0)</f>
        <v>0</v>
      </c>
      <c r="AB27" t="e">
        <f>AND(OnDemandVsReservedPercentage!A2,"AAAAABa7URs=")</f>
        <v>#VALUE!</v>
      </c>
      <c r="AC27" t="e">
        <f>AND(OnDemandVsReservedPercentage!B2,"AAAAABa7URw=")</f>
        <v>#VALUE!</v>
      </c>
      <c r="AD27" t="e">
        <f>AND(OnDemandVsReservedPercentage!C2,"AAAAABa7UR0=")</f>
        <v>#VALUE!</v>
      </c>
      <c r="AE27" t="e">
        <f>AND(OnDemandVsReservedPercentage!D2,"AAAAABa7UR4=")</f>
        <v>#VALUE!</v>
      </c>
      <c r="AF27" t="e">
        <f>AND(OnDemandVsReservedPercentage!E2,"AAAAABa7UR8=")</f>
        <v>#VALUE!</v>
      </c>
      <c r="AG27">
        <f>IF(OnDemandVsReservedPercentage!3:3,"AAAAABa7USA=",0)</f>
        <v>0</v>
      </c>
      <c r="AH27" t="e">
        <f>AND(OnDemandVsReservedPercentage!A3,"AAAAABa7USE=")</f>
        <v>#VALUE!</v>
      </c>
      <c r="AI27" t="e">
        <f>AND(OnDemandVsReservedPercentage!B3,"AAAAABa7USI=")</f>
        <v>#VALUE!</v>
      </c>
      <c r="AJ27" t="e">
        <f>AND(OnDemandVsReservedPercentage!C3,"AAAAABa7USM=")</f>
        <v>#VALUE!</v>
      </c>
      <c r="AK27" t="e">
        <f>AND(OnDemandVsReservedPercentage!D3,"AAAAABa7USQ=")</f>
        <v>#VALUE!</v>
      </c>
      <c r="AL27" t="e">
        <f>AND(OnDemandVsReservedPercentage!E3,"AAAAABa7USU=")</f>
        <v>#VALUE!</v>
      </c>
      <c r="AM27">
        <f>IF(OnDemandVsReservedPercentage!4:4,"AAAAABa7USY=",0)</f>
        <v>0</v>
      </c>
      <c r="AN27" t="e">
        <f>AND(OnDemandVsReservedPercentage!A4,"AAAAABa7USc=")</f>
        <v>#VALUE!</v>
      </c>
      <c r="AO27" t="e">
        <f>AND(OnDemandVsReservedPercentage!B4,"AAAAABa7USg=")</f>
        <v>#VALUE!</v>
      </c>
      <c r="AP27" t="e">
        <f>AND(OnDemandVsReservedPercentage!C4,"AAAAABa7USk=")</f>
        <v>#VALUE!</v>
      </c>
      <c r="AQ27" t="e">
        <f>AND(OnDemandVsReservedPercentage!D4,"AAAAABa7USo=")</f>
        <v>#VALUE!</v>
      </c>
      <c r="AR27" t="e">
        <f>AND(OnDemandVsReservedPercentage!E4,"AAAAABa7USs=")</f>
        <v>#VALUE!</v>
      </c>
      <c r="AS27">
        <f>IF(OnDemandVsReservedPercentage!5:5,"AAAAABa7USw=",0)</f>
        <v>0</v>
      </c>
      <c r="AT27" t="e">
        <f>AND(OnDemandVsReservedPercentage!A5,"AAAAABa7US0=")</f>
        <v>#VALUE!</v>
      </c>
      <c r="AU27" t="e">
        <f>AND(OnDemandVsReservedPercentage!B5,"AAAAABa7US4=")</f>
        <v>#VALUE!</v>
      </c>
      <c r="AV27" t="e">
        <f>AND(OnDemandVsReservedPercentage!C5,"AAAAABa7US8=")</f>
        <v>#VALUE!</v>
      </c>
      <c r="AW27" t="e">
        <f>AND(OnDemandVsReservedPercentage!D5,"AAAAABa7UTA=")</f>
        <v>#VALUE!</v>
      </c>
      <c r="AX27" t="e">
        <f>AND(OnDemandVsReservedPercentage!E5,"AAAAABa7UTE=")</f>
        <v>#VALUE!</v>
      </c>
      <c r="AY27">
        <f>IF(OnDemandVsReservedPercentage!6:6,"AAAAABa7UTI=",0)</f>
        <v>0</v>
      </c>
      <c r="AZ27" t="e">
        <f>AND(OnDemandVsReservedPercentage!A6,"AAAAABa7UTM=")</f>
        <v>#VALUE!</v>
      </c>
      <c r="BA27" t="e">
        <f>AND(OnDemandVsReservedPercentage!B6,"AAAAABa7UTQ=")</f>
        <v>#VALUE!</v>
      </c>
      <c r="BB27" t="e">
        <f>AND(OnDemandVsReservedPercentage!C6,"AAAAABa7UTU=")</f>
        <v>#VALUE!</v>
      </c>
      <c r="BC27" t="e">
        <f>AND(OnDemandVsReservedPercentage!D6,"AAAAABa7UTY=")</f>
        <v>#VALUE!</v>
      </c>
      <c r="BD27" t="e">
        <f>AND(OnDemandVsReservedPercentage!E6,"AAAAABa7UTc=")</f>
        <v>#VALUE!</v>
      </c>
      <c r="BE27">
        <f>IF(OnDemandVsReservedPercentage!7:7,"AAAAABa7UTg=",0)</f>
        <v>0</v>
      </c>
      <c r="BF27" t="e">
        <f>AND(OnDemandVsReservedPercentage!A7,"AAAAABa7UTk=")</f>
        <v>#VALUE!</v>
      </c>
      <c r="BG27" t="e">
        <f>AND(OnDemandVsReservedPercentage!B7,"AAAAABa7UTo=")</f>
        <v>#VALUE!</v>
      </c>
      <c r="BH27" t="e">
        <f>AND(OnDemandVsReservedPercentage!C7,"AAAAABa7UTs=")</f>
        <v>#VALUE!</v>
      </c>
      <c r="BI27" t="e">
        <f>AND(OnDemandVsReservedPercentage!D7,"AAAAABa7UTw=")</f>
        <v>#VALUE!</v>
      </c>
      <c r="BJ27" t="e">
        <f>AND(OnDemandVsReservedPercentage!E7,"AAAAABa7UT0=")</f>
        <v>#VALUE!</v>
      </c>
      <c r="BK27">
        <f>IF(OnDemandVsReservedPercentage!8:8,"AAAAABa7UT4=",0)</f>
        <v>0</v>
      </c>
      <c r="BL27" t="e">
        <f>AND(OnDemandVsReservedPercentage!A8,"AAAAABa7UT8=")</f>
        <v>#VALUE!</v>
      </c>
      <c r="BM27" t="e">
        <f>AND(OnDemandVsReservedPercentage!B8,"AAAAABa7UUA=")</f>
        <v>#VALUE!</v>
      </c>
      <c r="BN27" t="e">
        <f>AND(OnDemandVsReservedPercentage!C8,"AAAAABa7UUE=")</f>
        <v>#VALUE!</v>
      </c>
      <c r="BO27" t="e">
        <f>AND(OnDemandVsReservedPercentage!D8,"AAAAABa7UUI=")</f>
        <v>#VALUE!</v>
      </c>
      <c r="BP27" t="e">
        <f>AND(OnDemandVsReservedPercentage!E8,"AAAAABa7UUM=")</f>
        <v>#VALUE!</v>
      </c>
      <c r="BQ27">
        <f>IF(OnDemandVsReservedPercentage!9:9,"AAAAABa7UUQ=",0)</f>
        <v>0</v>
      </c>
      <c r="BR27" t="e">
        <f>AND(OnDemandVsReservedPercentage!A9,"AAAAABa7UUU=")</f>
        <v>#VALUE!</v>
      </c>
      <c r="BS27" t="e">
        <f>AND(OnDemandVsReservedPercentage!B9,"AAAAABa7UUY=")</f>
        <v>#VALUE!</v>
      </c>
      <c r="BT27" t="e">
        <f>AND(OnDemandVsReservedPercentage!C9,"AAAAABa7UUc=")</f>
        <v>#VALUE!</v>
      </c>
      <c r="BU27" t="e">
        <f>AND(OnDemandVsReservedPercentage!D9,"AAAAABa7UUg=")</f>
        <v>#VALUE!</v>
      </c>
      <c r="BV27" t="e">
        <f>AND(OnDemandVsReservedPercentage!E9,"AAAAABa7UUk=")</f>
        <v>#VALUE!</v>
      </c>
      <c r="BW27">
        <f>IF(OnDemandVsReservedPercentage!10:10,"AAAAABa7UUo=",0)</f>
        <v>0</v>
      </c>
      <c r="BX27" t="e">
        <f>AND(OnDemandVsReservedPercentage!A10,"AAAAABa7UUs=")</f>
        <v>#VALUE!</v>
      </c>
      <c r="BY27" t="e">
        <f>AND(OnDemandVsReservedPercentage!B10,"AAAAABa7UUw=")</f>
        <v>#VALUE!</v>
      </c>
      <c r="BZ27" t="e">
        <f>AND(OnDemandVsReservedPercentage!C10,"AAAAABa7UU0=")</f>
        <v>#VALUE!</v>
      </c>
      <c r="CA27" t="e">
        <f>AND(OnDemandVsReservedPercentage!D10,"AAAAABa7UU4=")</f>
        <v>#VALUE!</v>
      </c>
      <c r="CB27" t="e">
        <f>AND(OnDemandVsReservedPercentage!E10,"AAAAABa7UU8=")</f>
        <v>#VALUE!</v>
      </c>
      <c r="CC27">
        <f>IF(OnDemandVsReservedPercentage!11:11,"AAAAABa7UVA=",0)</f>
        <v>0</v>
      </c>
      <c r="CD27" t="e">
        <f>AND(OnDemandVsReservedPercentage!A11,"AAAAABa7UVE=")</f>
        <v>#VALUE!</v>
      </c>
      <c r="CE27" t="e">
        <f>AND(OnDemandVsReservedPercentage!B11,"AAAAABa7UVI=")</f>
        <v>#VALUE!</v>
      </c>
      <c r="CF27" t="e">
        <f>AND(OnDemandVsReservedPercentage!C11,"AAAAABa7UVM=")</f>
        <v>#VALUE!</v>
      </c>
      <c r="CG27" t="e">
        <f>AND(OnDemandVsReservedPercentage!D11,"AAAAABa7UVQ=")</f>
        <v>#VALUE!</v>
      </c>
      <c r="CH27" t="e">
        <f>AND(OnDemandVsReservedPercentage!E11,"AAAAABa7UVU=")</f>
        <v>#VALUE!</v>
      </c>
      <c r="CI27">
        <f>IF(OnDemandVsReservedPercentage!12:12,"AAAAABa7UVY=",0)</f>
        <v>0</v>
      </c>
      <c r="CJ27" t="e">
        <f>AND(OnDemandVsReservedPercentage!A12,"AAAAABa7UVc=")</f>
        <v>#VALUE!</v>
      </c>
      <c r="CK27" t="e">
        <f>AND(OnDemandVsReservedPercentage!B12,"AAAAABa7UVg=")</f>
        <v>#VALUE!</v>
      </c>
      <c r="CL27" t="e">
        <f>AND(OnDemandVsReservedPercentage!C12,"AAAAABa7UVk=")</f>
        <v>#VALUE!</v>
      </c>
      <c r="CM27" t="e">
        <f>AND(OnDemandVsReservedPercentage!D12,"AAAAABa7UVo=")</f>
        <v>#VALUE!</v>
      </c>
      <c r="CN27" t="e">
        <f>AND(OnDemandVsReservedPercentage!E12,"AAAAABa7UVs=")</f>
        <v>#VALUE!</v>
      </c>
      <c r="CO27">
        <f>IF(OnDemandVsReservedPercentage!13:13,"AAAAABa7UVw=",0)</f>
        <v>0</v>
      </c>
      <c r="CP27" t="e">
        <f>AND(OnDemandVsReservedPercentage!A13,"AAAAABa7UV0=")</f>
        <v>#VALUE!</v>
      </c>
      <c r="CQ27" t="e">
        <f>AND(OnDemandVsReservedPercentage!B13,"AAAAABa7UV4=")</f>
        <v>#VALUE!</v>
      </c>
      <c r="CR27" t="e">
        <f>AND(OnDemandVsReservedPercentage!C13,"AAAAABa7UV8=")</f>
        <v>#VALUE!</v>
      </c>
      <c r="CS27" t="e">
        <f>AND(OnDemandVsReservedPercentage!D13,"AAAAABa7UWA=")</f>
        <v>#VALUE!</v>
      </c>
      <c r="CT27" t="e">
        <f>AND(OnDemandVsReservedPercentage!E13,"AAAAABa7UWE=")</f>
        <v>#VALUE!</v>
      </c>
      <c r="CU27">
        <f>IF(OnDemandVsReservedPercentage!14:14,"AAAAABa7UWI=",0)</f>
        <v>0</v>
      </c>
      <c r="CV27" t="e">
        <f>AND(OnDemandVsReservedPercentage!A14,"AAAAABa7UWM=")</f>
        <v>#VALUE!</v>
      </c>
      <c r="CW27" t="e">
        <f>AND(OnDemandVsReservedPercentage!B14,"AAAAABa7UWQ=")</f>
        <v>#VALUE!</v>
      </c>
      <c r="CX27" t="e">
        <f>AND(OnDemandVsReservedPercentage!C14,"AAAAABa7UWU=")</f>
        <v>#VALUE!</v>
      </c>
      <c r="CY27" t="e">
        <f>AND(OnDemandVsReservedPercentage!D14,"AAAAABa7UWY=")</f>
        <v>#VALUE!</v>
      </c>
      <c r="CZ27" t="e">
        <f>AND(OnDemandVsReservedPercentage!E14,"AAAAABa7UWc=")</f>
        <v>#VALUE!</v>
      </c>
      <c r="DA27">
        <f>IF(OnDemandVsReservedPercentage!15:15,"AAAAABa7UWg=",0)</f>
        <v>0</v>
      </c>
      <c r="DB27" t="e">
        <f>AND(OnDemandVsReservedPercentage!A15,"AAAAABa7UWk=")</f>
        <v>#VALUE!</v>
      </c>
      <c r="DC27" t="e">
        <f>AND(OnDemandVsReservedPercentage!B15,"AAAAABa7UWo=")</f>
        <v>#VALUE!</v>
      </c>
      <c r="DD27" t="e">
        <f>AND(OnDemandVsReservedPercentage!C15,"AAAAABa7UWs=")</f>
        <v>#VALUE!</v>
      </c>
      <c r="DE27" t="e">
        <f>AND(OnDemandVsReservedPercentage!D15,"AAAAABa7UWw=")</f>
        <v>#VALUE!</v>
      </c>
      <c r="DF27" t="e">
        <f>AND(OnDemandVsReservedPercentage!E15,"AAAAABa7UW0=")</f>
        <v>#VALUE!</v>
      </c>
      <c r="DG27">
        <f>IF(OnDemandVsReservedPercentage!16:16,"AAAAABa7UW4=",0)</f>
        <v>0</v>
      </c>
      <c r="DH27" t="e">
        <f>AND(OnDemandVsReservedPercentage!A16,"AAAAABa7UW8=")</f>
        <v>#VALUE!</v>
      </c>
      <c r="DI27" t="e">
        <f>AND(OnDemandVsReservedPercentage!B16,"AAAAABa7UXA=")</f>
        <v>#VALUE!</v>
      </c>
      <c r="DJ27" t="e">
        <f>AND(OnDemandVsReservedPercentage!C16,"AAAAABa7UXE=")</f>
        <v>#VALUE!</v>
      </c>
      <c r="DK27" t="e">
        <f>AND(OnDemandVsReservedPercentage!D16,"AAAAABa7UXI=")</f>
        <v>#VALUE!</v>
      </c>
      <c r="DL27" t="e">
        <f>AND(OnDemandVsReservedPercentage!E16,"AAAAABa7UXM=")</f>
        <v>#VALUE!</v>
      </c>
      <c r="DM27">
        <f>IF(OnDemandVsReservedPercentage!17:17,"AAAAABa7UXQ=",0)</f>
        <v>0</v>
      </c>
      <c r="DN27" t="e">
        <f>AND(OnDemandVsReservedPercentage!A17,"AAAAABa7UXU=")</f>
        <v>#VALUE!</v>
      </c>
      <c r="DO27" t="e">
        <f>AND(OnDemandVsReservedPercentage!B17,"AAAAABa7UXY=")</f>
        <v>#VALUE!</v>
      </c>
      <c r="DP27" t="e">
        <f>AND(OnDemandVsReservedPercentage!C17,"AAAAABa7UXc=")</f>
        <v>#VALUE!</v>
      </c>
      <c r="DQ27" t="e">
        <f>AND(OnDemandVsReservedPercentage!D17,"AAAAABa7UXg=")</f>
        <v>#VALUE!</v>
      </c>
      <c r="DR27" t="e">
        <f>AND(OnDemandVsReservedPercentage!E17,"AAAAABa7UXk=")</f>
        <v>#VALUE!</v>
      </c>
      <c r="DS27">
        <f>IF(OnDemandVsReservedPercentage!18:18,"AAAAABa7UXo=",0)</f>
        <v>0</v>
      </c>
      <c r="DT27" t="e">
        <f>AND(OnDemandVsReservedPercentage!A18,"AAAAABa7UXs=")</f>
        <v>#VALUE!</v>
      </c>
      <c r="DU27" t="e">
        <f>AND(OnDemandVsReservedPercentage!B18,"AAAAABa7UXw=")</f>
        <v>#VALUE!</v>
      </c>
      <c r="DV27" t="e">
        <f>AND(OnDemandVsReservedPercentage!C18,"AAAAABa7UX0=")</f>
        <v>#VALUE!</v>
      </c>
      <c r="DW27" t="e">
        <f>AND(OnDemandVsReservedPercentage!D18,"AAAAABa7UX4=")</f>
        <v>#VALUE!</v>
      </c>
      <c r="DX27" t="e">
        <f>AND(OnDemandVsReservedPercentage!E18,"AAAAABa7UX8=")</f>
        <v>#VALUE!</v>
      </c>
      <c r="DY27">
        <f>IF(OnDemandVsReservedPercentage!19:19,"AAAAABa7UYA=",0)</f>
        <v>0</v>
      </c>
      <c r="DZ27" t="e">
        <f>AND(OnDemandVsReservedPercentage!A19,"AAAAABa7UYE=")</f>
        <v>#VALUE!</v>
      </c>
      <c r="EA27" t="e">
        <f>AND(OnDemandVsReservedPercentage!B19,"AAAAABa7UYI=")</f>
        <v>#VALUE!</v>
      </c>
      <c r="EB27" t="e">
        <f>AND(OnDemandVsReservedPercentage!C19,"AAAAABa7UYM=")</f>
        <v>#VALUE!</v>
      </c>
      <c r="EC27" t="e">
        <f>AND(OnDemandVsReservedPercentage!D19,"AAAAABa7UYQ=")</f>
        <v>#VALUE!</v>
      </c>
      <c r="ED27" t="e">
        <f>AND(OnDemandVsReservedPercentage!E19,"AAAAABa7UYU=")</f>
        <v>#VALUE!</v>
      </c>
      <c r="EE27">
        <f>IF(OnDemandVsReservedPercentage!20:20,"AAAAABa7UYY=",0)</f>
        <v>0</v>
      </c>
      <c r="EF27" t="e">
        <f>AND(OnDemandVsReservedPercentage!A20,"AAAAABa7UYc=")</f>
        <v>#VALUE!</v>
      </c>
      <c r="EG27" t="e">
        <f>AND(OnDemandVsReservedPercentage!B20,"AAAAABa7UYg=")</f>
        <v>#VALUE!</v>
      </c>
      <c r="EH27" t="e">
        <f>AND(OnDemandVsReservedPercentage!C20,"AAAAABa7UYk=")</f>
        <v>#VALUE!</v>
      </c>
      <c r="EI27" t="e">
        <f>AND(OnDemandVsReservedPercentage!D20,"AAAAABa7UYo=")</f>
        <v>#VALUE!</v>
      </c>
      <c r="EJ27" t="e">
        <f>AND(OnDemandVsReservedPercentage!E20,"AAAAABa7UYs=")</f>
        <v>#VALUE!</v>
      </c>
      <c r="EK27">
        <f>IF(OnDemandVsReservedPercentage!21:21,"AAAAABa7UYw=",0)</f>
        <v>0</v>
      </c>
      <c r="EL27" t="e">
        <f>AND(OnDemandVsReservedPercentage!A21,"AAAAABa7UY0=")</f>
        <v>#VALUE!</v>
      </c>
      <c r="EM27" t="e">
        <f>AND(OnDemandVsReservedPercentage!B21,"AAAAABa7UY4=")</f>
        <v>#VALUE!</v>
      </c>
      <c r="EN27" t="e">
        <f>AND(OnDemandVsReservedPercentage!C21,"AAAAABa7UY8=")</f>
        <v>#VALUE!</v>
      </c>
      <c r="EO27" t="e">
        <f>AND(OnDemandVsReservedPercentage!D21,"AAAAABa7UZA=")</f>
        <v>#VALUE!</v>
      </c>
      <c r="EP27" t="e">
        <f>AND(OnDemandVsReservedPercentage!E21,"AAAAABa7UZE=")</f>
        <v>#VALUE!</v>
      </c>
      <c r="EQ27">
        <f>IF(OnDemandVsReservedPercentage!22:22,"AAAAABa7UZI=",0)</f>
        <v>0</v>
      </c>
      <c r="ER27" t="e">
        <f>AND(OnDemandVsReservedPercentage!A22,"AAAAABa7UZM=")</f>
        <v>#VALUE!</v>
      </c>
      <c r="ES27" t="e">
        <f>AND(OnDemandVsReservedPercentage!B22,"AAAAABa7UZQ=")</f>
        <v>#VALUE!</v>
      </c>
      <c r="ET27" t="e">
        <f>AND(OnDemandVsReservedPercentage!C22,"AAAAABa7UZU=")</f>
        <v>#VALUE!</v>
      </c>
      <c r="EU27" t="e">
        <f>AND(OnDemandVsReservedPercentage!D22,"AAAAABa7UZY=")</f>
        <v>#VALUE!</v>
      </c>
      <c r="EV27" t="e">
        <f>AND(OnDemandVsReservedPercentage!E22,"AAAAABa7UZc=")</f>
        <v>#VALUE!</v>
      </c>
      <c r="EW27">
        <f>IF(OnDemandVsReservedPercentage!23:23,"AAAAABa7UZg=",0)</f>
        <v>0</v>
      </c>
      <c r="EX27" t="e">
        <f>AND(OnDemandVsReservedPercentage!A23,"AAAAABa7UZk=")</f>
        <v>#VALUE!</v>
      </c>
      <c r="EY27" t="e">
        <f>AND(OnDemandVsReservedPercentage!B23,"AAAAABa7UZo=")</f>
        <v>#VALUE!</v>
      </c>
      <c r="EZ27" t="e">
        <f>AND(OnDemandVsReservedPercentage!C23,"AAAAABa7UZs=")</f>
        <v>#VALUE!</v>
      </c>
      <c r="FA27" t="e">
        <f>AND(OnDemandVsReservedPercentage!D23,"AAAAABa7UZw=")</f>
        <v>#VALUE!</v>
      </c>
      <c r="FB27" t="e">
        <f>AND(OnDemandVsReservedPercentage!E23,"AAAAABa7UZ0=")</f>
        <v>#VALUE!</v>
      </c>
      <c r="FC27">
        <f>IF(OnDemandVsReservedPercentage!24:24,"AAAAABa7UZ4=",0)</f>
        <v>0</v>
      </c>
      <c r="FD27" t="e">
        <f>AND(OnDemandVsReservedPercentage!A24,"AAAAABa7UZ8=")</f>
        <v>#VALUE!</v>
      </c>
      <c r="FE27" t="e">
        <f>AND(OnDemandVsReservedPercentage!B24,"AAAAABa7UaA=")</f>
        <v>#VALUE!</v>
      </c>
      <c r="FF27" t="e">
        <f>AND(OnDemandVsReservedPercentage!C24,"AAAAABa7UaE=")</f>
        <v>#VALUE!</v>
      </c>
      <c r="FG27" t="e">
        <f>AND(OnDemandVsReservedPercentage!D24,"AAAAABa7UaI=")</f>
        <v>#VALUE!</v>
      </c>
      <c r="FH27" t="e">
        <f>AND(OnDemandVsReservedPercentage!E24,"AAAAABa7UaM=")</f>
        <v>#VALUE!</v>
      </c>
      <c r="FI27">
        <f>IF(OnDemandVsReservedPercentage!25:25,"AAAAABa7UaQ=",0)</f>
        <v>0</v>
      </c>
      <c r="FJ27" t="e">
        <f>AND(OnDemandVsReservedPercentage!A25,"AAAAABa7UaU=")</f>
        <v>#VALUE!</v>
      </c>
      <c r="FK27" t="e">
        <f>AND(OnDemandVsReservedPercentage!B25,"AAAAABa7UaY=")</f>
        <v>#VALUE!</v>
      </c>
      <c r="FL27" t="e">
        <f>AND(OnDemandVsReservedPercentage!C25,"AAAAABa7Uac=")</f>
        <v>#VALUE!</v>
      </c>
      <c r="FM27" t="e">
        <f>AND(OnDemandVsReservedPercentage!D25,"AAAAABa7Uag=")</f>
        <v>#VALUE!</v>
      </c>
      <c r="FN27" t="e">
        <f>AND(OnDemandVsReservedPercentage!E25,"AAAAABa7Uak=")</f>
        <v>#VALUE!</v>
      </c>
      <c r="FO27">
        <f>IF(OnDemandVsReservedPercentage!26:26,"AAAAABa7Uao=",0)</f>
        <v>0</v>
      </c>
      <c r="FP27" t="e">
        <f>AND(OnDemandVsReservedPercentage!A26,"AAAAABa7Uas=")</f>
        <v>#VALUE!</v>
      </c>
      <c r="FQ27" t="e">
        <f>AND(OnDemandVsReservedPercentage!B26,"AAAAABa7Uaw=")</f>
        <v>#VALUE!</v>
      </c>
      <c r="FR27" t="e">
        <f>AND(OnDemandVsReservedPercentage!C26,"AAAAABa7Ua0=")</f>
        <v>#VALUE!</v>
      </c>
      <c r="FS27" t="e">
        <f>AND(OnDemandVsReservedPercentage!D26,"AAAAABa7Ua4=")</f>
        <v>#VALUE!</v>
      </c>
      <c r="FT27" t="e">
        <f>AND(OnDemandVsReservedPercentage!E26,"AAAAABa7Ua8=")</f>
        <v>#VALUE!</v>
      </c>
      <c r="FU27">
        <f>IF(OnDemandVsReservedPercentage!27:27,"AAAAABa7UbA=",0)</f>
        <v>0</v>
      </c>
      <c r="FV27" t="e">
        <f>AND(OnDemandVsReservedPercentage!A27,"AAAAABa7UbE=")</f>
        <v>#VALUE!</v>
      </c>
      <c r="FW27" t="e">
        <f>AND(OnDemandVsReservedPercentage!B27,"AAAAABa7UbI=")</f>
        <v>#VALUE!</v>
      </c>
      <c r="FX27" t="e">
        <f>AND(OnDemandVsReservedPercentage!C27,"AAAAABa7UbM=")</f>
        <v>#VALUE!</v>
      </c>
      <c r="FY27" t="e">
        <f>AND(OnDemandVsReservedPercentage!D27,"AAAAABa7UbQ=")</f>
        <v>#VALUE!</v>
      </c>
      <c r="FZ27" t="e">
        <f>AND(OnDemandVsReservedPercentage!E27,"AAAAABa7UbU=")</f>
        <v>#VALUE!</v>
      </c>
      <c r="GA27">
        <f>IF(OnDemandVsReservedPercentage!28:28,"AAAAABa7UbY=",0)</f>
        <v>0</v>
      </c>
      <c r="GB27" t="e">
        <f>AND(OnDemandVsReservedPercentage!A28,"AAAAABa7Ubc=")</f>
        <v>#VALUE!</v>
      </c>
      <c r="GC27" t="e">
        <f>AND(OnDemandVsReservedPercentage!B28,"AAAAABa7Ubg=")</f>
        <v>#VALUE!</v>
      </c>
      <c r="GD27" t="e">
        <f>AND(OnDemandVsReservedPercentage!C28,"AAAAABa7Ubk=")</f>
        <v>#VALUE!</v>
      </c>
      <c r="GE27" t="e">
        <f>AND(OnDemandVsReservedPercentage!D28,"AAAAABa7Ubo=")</f>
        <v>#VALUE!</v>
      </c>
      <c r="GF27" t="e">
        <f>AND(OnDemandVsReservedPercentage!E28,"AAAAABa7Ubs=")</f>
        <v>#VALUE!</v>
      </c>
      <c r="GG27">
        <f>IF(OnDemandVsReservedPercentage!29:29,"AAAAABa7Ubw=",0)</f>
        <v>0</v>
      </c>
      <c r="GH27" t="e">
        <f>AND(OnDemandVsReservedPercentage!A29,"AAAAABa7Ub0=")</f>
        <v>#VALUE!</v>
      </c>
      <c r="GI27" t="e">
        <f>AND(OnDemandVsReservedPercentage!B29,"AAAAABa7Ub4=")</f>
        <v>#VALUE!</v>
      </c>
      <c r="GJ27" t="e">
        <f>AND(OnDemandVsReservedPercentage!C29,"AAAAABa7Ub8=")</f>
        <v>#VALUE!</v>
      </c>
      <c r="GK27" t="e">
        <f>AND(OnDemandVsReservedPercentage!D29,"AAAAABa7UcA=")</f>
        <v>#VALUE!</v>
      </c>
      <c r="GL27" t="e">
        <f>AND(OnDemandVsReservedPercentage!E29,"AAAAABa7UcE=")</f>
        <v>#VALUE!</v>
      </c>
      <c r="GM27">
        <f>IF(OnDemandVsReservedPercentage!30:30,"AAAAABa7UcI=",0)</f>
        <v>0</v>
      </c>
      <c r="GN27" t="e">
        <f>AND(OnDemandVsReservedPercentage!A30,"AAAAABa7UcM=")</f>
        <v>#VALUE!</v>
      </c>
      <c r="GO27" t="e">
        <f>AND(OnDemandVsReservedPercentage!B30,"AAAAABa7UcQ=")</f>
        <v>#VALUE!</v>
      </c>
      <c r="GP27" t="e">
        <f>AND(OnDemandVsReservedPercentage!C30,"AAAAABa7UcU=")</f>
        <v>#VALUE!</v>
      </c>
      <c r="GQ27" t="e">
        <f>AND(OnDemandVsReservedPercentage!D30,"AAAAABa7UcY=")</f>
        <v>#VALUE!</v>
      </c>
      <c r="GR27" t="e">
        <f>AND(OnDemandVsReservedPercentage!E30,"AAAAABa7Ucc=")</f>
        <v>#VALUE!</v>
      </c>
      <c r="GS27">
        <f>IF(OnDemandVsReservedPercentage!31:31,"AAAAABa7Ucg=",0)</f>
        <v>0</v>
      </c>
      <c r="GT27" t="e">
        <f>AND(OnDemandVsReservedPercentage!A31,"AAAAABa7Uck=")</f>
        <v>#VALUE!</v>
      </c>
      <c r="GU27" t="e">
        <f>AND(OnDemandVsReservedPercentage!B31,"AAAAABa7Uco=")</f>
        <v>#VALUE!</v>
      </c>
      <c r="GV27" t="e">
        <f>AND(OnDemandVsReservedPercentage!C31,"AAAAABa7Ucs=")</f>
        <v>#VALUE!</v>
      </c>
      <c r="GW27" t="e">
        <f>AND(OnDemandVsReservedPercentage!D31,"AAAAABa7Ucw=")</f>
        <v>#VALUE!</v>
      </c>
      <c r="GX27" t="e">
        <f>AND(OnDemandVsReservedPercentage!E31,"AAAAABa7Uc0=")</f>
        <v>#VALUE!</v>
      </c>
      <c r="GY27">
        <f>IF(OnDemandVsReservedPercentage!32:32,"AAAAABa7Uc4=",0)</f>
        <v>0</v>
      </c>
      <c r="GZ27" t="e">
        <f>AND(OnDemandVsReservedPercentage!A32,"AAAAABa7Uc8=")</f>
        <v>#VALUE!</v>
      </c>
      <c r="HA27" t="e">
        <f>AND(OnDemandVsReservedPercentage!B32,"AAAAABa7UdA=")</f>
        <v>#VALUE!</v>
      </c>
      <c r="HB27" t="e">
        <f>AND(OnDemandVsReservedPercentage!C32,"AAAAABa7UdE=")</f>
        <v>#VALUE!</v>
      </c>
      <c r="HC27" t="e">
        <f>AND(OnDemandVsReservedPercentage!D32,"AAAAABa7UdI=")</f>
        <v>#VALUE!</v>
      </c>
      <c r="HD27" t="e">
        <f>AND(OnDemandVsReservedPercentage!E32,"AAAAABa7UdM=")</f>
        <v>#VALUE!</v>
      </c>
      <c r="HE27">
        <f>IF(OnDemandVsReservedPercentage!33:33,"AAAAABa7UdQ=",0)</f>
        <v>0</v>
      </c>
      <c r="HF27" t="e">
        <f>AND(OnDemandVsReservedPercentage!A33,"AAAAABa7UdU=")</f>
        <v>#VALUE!</v>
      </c>
      <c r="HG27" t="e">
        <f>AND(OnDemandVsReservedPercentage!B33,"AAAAABa7UdY=")</f>
        <v>#VALUE!</v>
      </c>
      <c r="HH27" t="e">
        <f>AND(OnDemandVsReservedPercentage!C33,"AAAAABa7Udc=")</f>
        <v>#VALUE!</v>
      </c>
      <c r="HI27" t="e">
        <f>AND(OnDemandVsReservedPercentage!D33,"AAAAABa7Udg=")</f>
        <v>#VALUE!</v>
      </c>
      <c r="HJ27" t="e">
        <f>AND(OnDemandVsReservedPercentage!E33,"AAAAABa7Udk=")</f>
        <v>#VALUE!</v>
      </c>
      <c r="HK27">
        <f>IF(OnDemandVsReservedPercentage!34:34,"AAAAABa7Udo=",0)</f>
        <v>0</v>
      </c>
      <c r="HL27" t="e">
        <f>AND(OnDemandVsReservedPercentage!A34,"AAAAABa7Uds=")</f>
        <v>#VALUE!</v>
      </c>
      <c r="HM27" t="e">
        <f>AND(OnDemandVsReservedPercentage!B34,"AAAAABa7Udw=")</f>
        <v>#VALUE!</v>
      </c>
      <c r="HN27" t="e">
        <f>AND(OnDemandVsReservedPercentage!C34,"AAAAABa7Ud0=")</f>
        <v>#VALUE!</v>
      </c>
      <c r="HO27" t="e">
        <f>AND(OnDemandVsReservedPercentage!D34,"AAAAABa7Ud4=")</f>
        <v>#VALUE!</v>
      </c>
      <c r="HP27" t="e">
        <f>AND(OnDemandVsReservedPercentage!E34,"AAAAABa7Ud8=")</f>
        <v>#VALUE!</v>
      </c>
      <c r="HQ27">
        <f>IF(OnDemandVsReservedPercentage!35:35,"AAAAABa7UeA=",0)</f>
        <v>0</v>
      </c>
      <c r="HR27" t="e">
        <f>AND(OnDemandVsReservedPercentage!A35,"AAAAABa7UeE=")</f>
        <v>#VALUE!</v>
      </c>
      <c r="HS27" t="e">
        <f>AND(OnDemandVsReservedPercentage!B35,"AAAAABa7UeI=")</f>
        <v>#VALUE!</v>
      </c>
      <c r="HT27" t="e">
        <f>AND(OnDemandVsReservedPercentage!C35,"AAAAABa7UeM=")</f>
        <v>#VALUE!</v>
      </c>
      <c r="HU27" t="e">
        <f>AND(OnDemandVsReservedPercentage!D35,"AAAAABa7UeQ=")</f>
        <v>#VALUE!</v>
      </c>
      <c r="HV27" t="e">
        <f>AND(OnDemandVsReservedPercentage!E35,"AAAAABa7UeU=")</f>
        <v>#VALUE!</v>
      </c>
      <c r="HW27">
        <f>IF(OnDemandVsReservedPercentage!36:36,"AAAAABa7UeY=",0)</f>
        <v>0</v>
      </c>
      <c r="HX27" t="e">
        <f>AND(OnDemandVsReservedPercentage!A36,"AAAAABa7Uec=")</f>
        <v>#VALUE!</v>
      </c>
      <c r="HY27" t="e">
        <f>AND(OnDemandVsReservedPercentage!B36,"AAAAABa7Ueg=")</f>
        <v>#VALUE!</v>
      </c>
      <c r="HZ27" t="e">
        <f>AND(OnDemandVsReservedPercentage!C36,"AAAAABa7Uek=")</f>
        <v>#VALUE!</v>
      </c>
      <c r="IA27" t="e">
        <f>AND(OnDemandVsReservedPercentage!D36,"AAAAABa7Ueo=")</f>
        <v>#VALUE!</v>
      </c>
      <c r="IB27" t="e">
        <f>AND(OnDemandVsReservedPercentage!E36,"AAAAABa7Ues=")</f>
        <v>#VALUE!</v>
      </c>
      <c r="IC27">
        <f>IF(OnDemandVsReservedPercentage!37:37,"AAAAABa7Uew=",0)</f>
        <v>0</v>
      </c>
      <c r="ID27" t="e">
        <f>AND(OnDemandVsReservedPercentage!A37,"AAAAABa7Ue0=")</f>
        <v>#VALUE!</v>
      </c>
      <c r="IE27" t="e">
        <f>AND(OnDemandVsReservedPercentage!B37,"AAAAABa7Ue4=")</f>
        <v>#VALUE!</v>
      </c>
      <c r="IF27" t="e">
        <f>AND(OnDemandVsReservedPercentage!C37,"AAAAABa7Ue8=")</f>
        <v>#VALUE!</v>
      </c>
      <c r="IG27" t="e">
        <f>AND(OnDemandVsReservedPercentage!D37,"AAAAABa7UfA=")</f>
        <v>#VALUE!</v>
      </c>
      <c r="IH27" t="e">
        <f>AND(OnDemandVsReservedPercentage!E37,"AAAAABa7UfE=")</f>
        <v>#VALUE!</v>
      </c>
      <c r="II27">
        <f>IF(OnDemandVsReservedPercentage!38:38,"AAAAABa7UfI=",0)</f>
        <v>0</v>
      </c>
      <c r="IJ27" t="e">
        <f>AND(OnDemandVsReservedPercentage!A38,"AAAAABa7UfM=")</f>
        <v>#VALUE!</v>
      </c>
      <c r="IK27" t="e">
        <f>AND(OnDemandVsReservedPercentage!B38,"AAAAABa7UfQ=")</f>
        <v>#VALUE!</v>
      </c>
      <c r="IL27" t="e">
        <f>AND(OnDemandVsReservedPercentage!C38,"AAAAABa7UfU=")</f>
        <v>#VALUE!</v>
      </c>
      <c r="IM27" t="e">
        <f>AND(OnDemandVsReservedPercentage!D38,"AAAAABa7UfY=")</f>
        <v>#VALUE!</v>
      </c>
      <c r="IN27" t="e">
        <f>AND(OnDemandVsReservedPercentage!E38,"AAAAABa7Ufc=")</f>
        <v>#VALUE!</v>
      </c>
      <c r="IO27">
        <f>IF(OnDemandVsReservedPercentage!39:39,"AAAAABa7Ufg=",0)</f>
        <v>0</v>
      </c>
      <c r="IP27" t="e">
        <f>AND(OnDemandVsReservedPercentage!A39,"AAAAABa7Ufk=")</f>
        <v>#VALUE!</v>
      </c>
      <c r="IQ27" t="e">
        <f>AND(OnDemandVsReservedPercentage!B39,"AAAAABa7Ufo=")</f>
        <v>#VALUE!</v>
      </c>
      <c r="IR27" t="e">
        <f>AND(OnDemandVsReservedPercentage!C39,"AAAAABa7Ufs=")</f>
        <v>#VALUE!</v>
      </c>
      <c r="IS27" t="e">
        <f>AND(OnDemandVsReservedPercentage!D39,"AAAAABa7Ufw=")</f>
        <v>#VALUE!</v>
      </c>
      <c r="IT27" t="e">
        <f>AND(OnDemandVsReservedPercentage!E39,"AAAAABa7Uf0=")</f>
        <v>#VALUE!</v>
      </c>
      <c r="IU27">
        <f>IF(OnDemandVsReservedPercentage!40:40,"AAAAABa7Uf4=",0)</f>
        <v>0</v>
      </c>
      <c r="IV27" t="e">
        <f>AND(OnDemandVsReservedPercentage!A40,"AAAAABa7Uf8=")</f>
        <v>#VALUE!</v>
      </c>
    </row>
    <row r="28" spans="1:256" x14ac:dyDescent="0.25">
      <c r="A28" t="e">
        <f>AND(OnDemandVsReservedPercentage!B40,"AAAAADzHfwA=")</f>
        <v>#VALUE!</v>
      </c>
      <c r="B28" t="e">
        <f>AND(OnDemandVsReservedPercentage!C40,"AAAAADzHfwE=")</f>
        <v>#VALUE!</v>
      </c>
      <c r="C28" t="e">
        <f>AND(OnDemandVsReservedPercentage!D40,"AAAAADzHfwI=")</f>
        <v>#VALUE!</v>
      </c>
      <c r="D28" t="e">
        <f>AND(OnDemandVsReservedPercentage!E40,"AAAAADzHfwM=")</f>
        <v>#VALUE!</v>
      </c>
      <c r="E28" t="str">
        <f>IF(OnDemandVsReservedPercentage!41:41,"AAAAADzHfwQ=",0)</f>
        <v>AAAAADzHfwQ=</v>
      </c>
      <c r="F28" t="e">
        <f>AND(OnDemandVsReservedPercentage!A41,"AAAAADzHfwU=")</f>
        <v>#VALUE!</v>
      </c>
      <c r="G28" t="e">
        <f>AND(OnDemandVsReservedPercentage!B41,"AAAAADzHfwY=")</f>
        <v>#VALUE!</v>
      </c>
      <c r="H28" t="e">
        <f>AND(OnDemandVsReservedPercentage!C41,"AAAAADzHfwc=")</f>
        <v>#VALUE!</v>
      </c>
      <c r="I28" t="e">
        <f>AND(OnDemandVsReservedPercentage!D41,"AAAAADzHfwg=")</f>
        <v>#VALUE!</v>
      </c>
      <c r="J28" t="e">
        <f>AND(OnDemandVsReservedPercentage!E41,"AAAAADzHfwk=")</f>
        <v>#VALUE!</v>
      </c>
      <c r="K28">
        <f>IF(OnDemandVsReservedPercentage!42:42,"AAAAADzHfwo=",0)</f>
        <v>0</v>
      </c>
      <c r="L28" t="e">
        <f>AND(OnDemandVsReservedPercentage!A42,"AAAAADzHfws=")</f>
        <v>#VALUE!</v>
      </c>
      <c r="M28" t="e">
        <f>AND(OnDemandVsReservedPercentage!B42,"AAAAADzHfww=")</f>
        <v>#VALUE!</v>
      </c>
      <c r="N28" t="e">
        <f>AND(OnDemandVsReservedPercentage!C42,"AAAAADzHfw0=")</f>
        <v>#VALUE!</v>
      </c>
      <c r="O28" t="e">
        <f>AND(OnDemandVsReservedPercentage!D42,"AAAAADzHfw4=")</f>
        <v>#VALUE!</v>
      </c>
      <c r="P28" t="e">
        <f>AND(OnDemandVsReservedPercentage!E42,"AAAAADzHfw8=")</f>
        <v>#VALUE!</v>
      </c>
      <c r="Q28">
        <f>IF(OnDemandVsReservedPercentage!43:43,"AAAAADzHfxA=",0)</f>
        <v>0</v>
      </c>
      <c r="R28" t="e">
        <f>AND(OnDemandVsReservedPercentage!A43,"AAAAADzHfxE=")</f>
        <v>#VALUE!</v>
      </c>
      <c r="S28" t="e">
        <f>AND(OnDemandVsReservedPercentage!B43,"AAAAADzHfxI=")</f>
        <v>#VALUE!</v>
      </c>
      <c r="T28" t="e">
        <f>AND(OnDemandVsReservedPercentage!C43,"AAAAADzHfxM=")</f>
        <v>#VALUE!</v>
      </c>
      <c r="U28" t="e">
        <f>AND(OnDemandVsReservedPercentage!D43,"AAAAADzHfxQ=")</f>
        <v>#VALUE!</v>
      </c>
      <c r="V28" t="e">
        <f>AND(OnDemandVsReservedPercentage!E43,"AAAAADzHfxU=")</f>
        <v>#VALUE!</v>
      </c>
      <c r="W28">
        <f>IF(OnDemandVsReservedPercentage!44:44,"AAAAADzHfxY=",0)</f>
        <v>0</v>
      </c>
      <c r="X28" t="e">
        <f>AND(OnDemandVsReservedPercentage!A44,"AAAAADzHfxc=")</f>
        <v>#VALUE!</v>
      </c>
      <c r="Y28" t="e">
        <f>AND(OnDemandVsReservedPercentage!B44,"AAAAADzHfxg=")</f>
        <v>#VALUE!</v>
      </c>
      <c r="Z28" t="e">
        <f>AND(OnDemandVsReservedPercentage!C44,"AAAAADzHfxk=")</f>
        <v>#VALUE!</v>
      </c>
      <c r="AA28" t="e">
        <f>AND(OnDemandVsReservedPercentage!D44,"AAAAADzHfxo=")</f>
        <v>#VALUE!</v>
      </c>
      <c r="AB28" t="e">
        <f>AND(OnDemandVsReservedPercentage!E44,"AAAAADzHfxs=")</f>
        <v>#VALUE!</v>
      </c>
      <c r="AC28">
        <f>IF(OnDemandVsReservedPercentage!45:45,"AAAAADzHfxw=",0)</f>
        <v>0</v>
      </c>
      <c r="AD28" t="e">
        <f>AND(OnDemandVsReservedPercentage!A45,"AAAAADzHfx0=")</f>
        <v>#VALUE!</v>
      </c>
      <c r="AE28" t="e">
        <f>AND(OnDemandVsReservedPercentage!B45,"AAAAADzHfx4=")</f>
        <v>#VALUE!</v>
      </c>
      <c r="AF28" t="e">
        <f>AND(OnDemandVsReservedPercentage!C45,"AAAAADzHfx8=")</f>
        <v>#VALUE!</v>
      </c>
      <c r="AG28" t="e">
        <f>AND(OnDemandVsReservedPercentage!D45,"AAAAADzHfyA=")</f>
        <v>#VALUE!</v>
      </c>
      <c r="AH28" t="e">
        <f>AND(OnDemandVsReservedPercentage!E45,"AAAAADzHfyE=")</f>
        <v>#VALUE!</v>
      </c>
      <c r="AI28">
        <f>IF(OnDemandVsReservedPercentage!46:46,"AAAAADzHfyI=",0)</f>
        <v>0</v>
      </c>
      <c r="AJ28" t="e">
        <f>AND(OnDemandVsReservedPercentage!A46,"AAAAADzHfyM=")</f>
        <v>#VALUE!</v>
      </c>
      <c r="AK28" t="e">
        <f>AND(OnDemandVsReservedPercentage!B46,"AAAAADzHfyQ=")</f>
        <v>#VALUE!</v>
      </c>
      <c r="AL28" t="e">
        <f>AND(OnDemandVsReservedPercentage!C46,"AAAAADzHfyU=")</f>
        <v>#VALUE!</v>
      </c>
      <c r="AM28" t="e">
        <f>AND(OnDemandVsReservedPercentage!D46,"AAAAADzHfyY=")</f>
        <v>#VALUE!</v>
      </c>
      <c r="AN28" t="e">
        <f>AND(OnDemandVsReservedPercentage!E46,"AAAAADzHfyc=")</f>
        <v>#VALUE!</v>
      </c>
      <c r="AO28">
        <f>IF(OnDemandVsReservedPercentage!47:47,"AAAAADzHfyg=",0)</f>
        <v>0</v>
      </c>
      <c r="AP28" t="e">
        <f>AND(OnDemandVsReservedPercentage!A47,"AAAAADzHfyk=")</f>
        <v>#VALUE!</v>
      </c>
      <c r="AQ28" t="e">
        <f>AND(OnDemandVsReservedPercentage!B47,"AAAAADzHfyo=")</f>
        <v>#VALUE!</v>
      </c>
      <c r="AR28" t="e">
        <f>AND(OnDemandVsReservedPercentage!C47,"AAAAADzHfys=")</f>
        <v>#VALUE!</v>
      </c>
      <c r="AS28" t="e">
        <f>AND(OnDemandVsReservedPercentage!D47,"AAAAADzHfyw=")</f>
        <v>#VALUE!</v>
      </c>
      <c r="AT28" t="e">
        <f>AND(OnDemandVsReservedPercentage!E47,"AAAAADzHfy0=")</f>
        <v>#VALUE!</v>
      </c>
      <c r="AU28">
        <f>IF(OnDemandVsReservedPercentage!48:48,"AAAAADzHfy4=",0)</f>
        <v>0</v>
      </c>
      <c r="AV28" t="e">
        <f>AND(OnDemandVsReservedPercentage!A48,"AAAAADzHfy8=")</f>
        <v>#VALUE!</v>
      </c>
      <c r="AW28" t="e">
        <f>AND(OnDemandVsReservedPercentage!B48,"AAAAADzHfzA=")</f>
        <v>#VALUE!</v>
      </c>
      <c r="AX28" t="e">
        <f>AND(OnDemandVsReservedPercentage!C48,"AAAAADzHfzE=")</f>
        <v>#VALUE!</v>
      </c>
      <c r="AY28" t="e">
        <f>AND(OnDemandVsReservedPercentage!D48,"AAAAADzHfzI=")</f>
        <v>#VALUE!</v>
      </c>
      <c r="AZ28" t="e">
        <f>AND(OnDemandVsReservedPercentage!E48,"AAAAADzHfzM=")</f>
        <v>#VALUE!</v>
      </c>
      <c r="BA28">
        <f>IF(OnDemandVsReservedPercentage!49:49,"AAAAADzHfzQ=",0)</f>
        <v>0</v>
      </c>
      <c r="BB28" t="e">
        <f>AND(OnDemandVsReservedPercentage!A49,"AAAAADzHfzU=")</f>
        <v>#VALUE!</v>
      </c>
      <c r="BC28" t="e">
        <f>AND(OnDemandVsReservedPercentage!B49,"AAAAADzHfzY=")</f>
        <v>#VALUE!</v>
      </c>
      <c r="BD28" t="e">
        <f>AND(OnDemandVsReservedPercentage!C49,"AAAAADzHfzc=")</f>
        <v>#VALUE!</v>
      </c>
      <c r="BE28" t="e">
        <f>AND(OnDemandVsReservedPercentage!D49,"AAAAADzHfzg=")</f>
        <v>#VALUE!</v>
      </c>
      <c r="BF28" t="e">
        <f>AND(OnDemandVsReservedPercentage!E49,"AAAAADzHfzk=")</f>
        <v>#VALUE!</v>
      </c>
      <c r="BG28">
        <f>IF(OnDemandVsReservedPercentage!50:50,"AAAAADzHfzo=",0)</f>
        <v>0</v>
      </c>
      <c r="BH28" t="e">
        <f>AND(OnDemandVsReservedPercentage!A50,"AAAAADzHfzs=")</f>
        <v>#VALUE!</v>
      </c>
      <c r="BI28" t="e">
        <f>AND(OnDemandVsReservedPercentage!B50,"AAAAADzHfzw=")</f>
        <v>#VALUE!</v>
      </c>
      <c r="BJ28" t="e">
        <f>AND(OnDemandVsReservedPercentage!C50,"AAAAADzHfz0=")</f>
        <v>#VALUE!</v>
      </c>
      <c r="BK28" t="e">
        <f>AND(OnDemandVsReservedPercentage!D50,"AAAAADzHfz4=")</f>
        <v>#VALUE!</v>
      </c>
      <c r="BL28" t="e">
        <f>AND(OnDemandVsReservedPercentage!E50,"AAAAADzHfz8=")</f>
        <v>#VALUE!</v>
      </c>
      <c r="BM28">
        <f>IF(OnDemandVsReservedPercentage!51:51,"AAAAADzHf0A=",0)</f>
        <v>0</v>
      </c>
      <c r="BN28" t="e">
        <f>AND(OnDemandVsReservedPercentage!A51,"AAAAADzHf0E=")</f>
        <v>#VALUE!</v>
      </c>
      <c r="BO28" t="e">
        <f>AND(OnDemandVsReservedPercentage!B51,"AAAAADzHf0I=")</f>
        <v>#VALUE!</v>
      </c>
      <c r="BP28" t="e">
        <f>AND(OnDemandVsReservedPercentage!C51,"AAAAADzHf0M=")</f>
        <v>#VALUE!</v>
      </c>
      <c r="BQ28" t="e">
        <f>AND(OnDemandVsReservedPercentage!D51,"AAAAADzHf0Q=")</f>
        <v>#VALUE!</v>
      </c>
      <c r="BR28" t="e">
        <f>AND(OnDemandVsReservedPercentage!E51,"AAAAADzHf0U=")</f>
        <v>#VALUE!</v>
      </c>
      <c r="BS28">
        <f>IF(OnDemandVsReservedPercentage!52:52,"AAAAADzHf0Y=",0)</f>
        <v>0</v>
      </c>
      <c r="BT28" t="e">
        <f>AND(OnDemandVsReservedPercentage!A52,"AAAAADzHf0c=")</f>
        <v>#VALUE!</v>
      </c>
      <c r="BU28" t="e">
        <f>AND(OnDemandVsReservedPercentage!B52,"AAAAADzHf0g=")</f>
        <v>#VALUE!</v>
      </c>
      <c r="BV28" t="e">
        <f>AND(OnDemandVsReservedPercentage!C52,"AAAAADzHf0k=")</f>
        <v>#VALUE!</v>
      </c>
      <c r="BW28" t="e">
        <f>AND(OnDemandVsReservedPercentage!D52,"AAAAADzHf0o=")</f>
        <v>#VALUE!</v>
      </c>
      <c r="BX28" t="e">
        <f>AND(OnDemandVsReservedPercentage!E52,"AAAAADzHf0s=")</f>
        <v>#VALUE!</v>
      </c>
      <c r="BY28">
        <f>IF(OnDemandVsReservedPercentage!53:53,"AAAAADzHf0w=",0)</f>
        <v>0</v>
      </c>
      <c r="BZ28" t="e">
        <f>AND(OnDemandVsReservedPercentage!A53,"AAAAADzHf00=")</f>
        <v>#VALUE!</v>
      </c>
      <c r="CA28" t="e">
        <f>AND(OnDemandVsReservedPercentage!B53,"AAAAADzHf04=")</f>
        <v>#VALUE!</v>
      </c>
      <c r="CB28" t="e">
        <f>AND(OnDemandVsReservedPercentage!C53,"AAAAADzHf08=")</f>
        <v>#VALUE!</v>
      </c>
      <c r="CC28" t="e">
        <f>AND(OnDemandVsReservedPercentage!D53,"AAAAADzHf1A=")</f>
        <v>#VALUE!</v>
      </c>
      <c r="CD28" t="e">
        <f>AND(OnDemandVsReservedPercentage!E53,"AAAAADzHf1E=")</f>
        <v>#VALUE!</v>
      </c>
      <c r="CE28">
        <f>IF(OnDemandVsReservedPercentage!54:54,"AAAAADzHf1I=",0)</f>
        <v>0</v>
      </c>
      <c r="CF28" t="e">
        <f>AND(OnDemandVsReservedPercentage!A54,"AAAAADzHf1M=")</f>
        <v>#VALUE!</v>
      </c>
      <c r="CG28" t="e">
        <f>AND(OnDemandVsReservedPercentage!B54,"AAAAADzHf1Q=")</f>
        <v>#VALUE!</v>
      </c>
      <c r="CH28" t="e">
        <f>AND(OnDemandVsReservedPercentage!C54,"AAAAADzHf1U=")</f>
        <v>#VALUE!</v>
      </c>
      <c r="CI28" t="e">
        <f>AND(OnDemandVsReservedPercentage!D54,"AAAAADzHf1Y=")</f>
        <v>#VALUE!</v>
      </c>
      <c r="CJ28" t="e">
        <f>AND(OnDemandVsReservedPercentage!E54,"AAAAADzHf1c=")</f>
        <v>#VALUE!</v>
      </c>
      <c r="CK28">
        <f>IF(OnDemandVsReservedPercentage!55:55,"AAAAADzHf1g=",0)</f>
        <v>0</v>
      </c>
      <c r="CL28" t="e">
        <f>AND(OnDemandVsReservedPercentage!A55,"AAAAADzHf1k=")</f>
        <v>#VALUE!</v>
      </c>
      <c r="CM28" t="e">
        <f>AND(OnDemandVsReservedPercentage!B55,"AAAAADzHf1o=")</f>
        <v>#VALUE!</v>
      </c>
      <c r="CN28" t="e">
        <f>AND(OnDemandVsReservedPercentage!C55,"AAAAADzHf1s=")</f>
        <v>#VALUE!</v>
      </c>
      <c r="CO28" t="e">
        <f>AND(OnDemandVsReservedPercentage!D55,"AAAAADzHf1w=")</f>
        <v>#VALUE!</v>
      </c>
      <c r="CP28" t="e">
        <f>AND(OnDemandVsReservedPercentage!E55,"AAAAADzHf10=")</f>
        <v>#VALUE!</v>
      </c>
      <c r="CQ28">
        <f>IF(OnDemandVsReservedPercentage!56:56,"AAAAADzHf14=",0)</f>
        <v>0</v>
      </c>
      <c r="CR28" t="e">
        <f>AND(OnDemandVsReservedPercentage!A56,"AAAAADzHf18=")</f>
        <v>#VALUE!</v>
      </c>
      <c r="CS28" t="e">
        <f>AND(OnDemandVsReservedPercentage!B56,"AAAAADzHf2A=")</f>
        <v>#VALUE!</v>
      </c>
      <c r="CT28" t="e">
        <f>AND(OnDemandVsReservedPercentage!C56,"AAAAADzHf2E=")</f>
        <v>#VALUE!</v>
      </c>
      <c r="CU28" t="e">
        <f>AND(OnDemandVsReservedPercentage!D56,"AAAAADzHf2I=")</f>
        <v>#VALUE!</v>
      </c>
      <c r="CV28" t="e">
        <f>AND(OnDemandVsReservedPercentage!E56,"AAAAADzHf2M=")</f>
        <v>#VALUE!</v>
      </c>
      <c r="CW28">
        <f>IF(OnDemandVsReservedPercentage!57:57,"AAAAADzHf2Q=",0)</f>
        <v>0</v>
      </c>
      <c r="CX28" t="e">
        <f>AND(OnDemandVsReservedPercentage!A57,"AAAAADzHf2U=")</f>
        <v>#VALUE!</v>
      </c>
      <c r="CY28" t="e">
        <f>AND(OnDemandVsReservedPercentage!B57,"AAAAADzHf2Y=")</f>
        <v>#VALUE!</v>
      </c>
      <c r="CZ28" t="e">
        <f>AND(OnDemandVsReservedPercentage!C57,"AAAAADzHf2c=")</f>
        <v>#VALUE!</v>
      </c>
      <c r="DA28" t="e">
        <f>AND(OnDemandVsReservedPercentage!D57,"AAAAADzHf2g=")</f>
        <v>#VALUE!</v>
      </c>
      <c r="DB28" t="e">
        <f>AND(OnDemandVsReservedPercentage!E57,"AAAAADzHf2k=")</f>
        <v>#VALUE!</v>
      </c>
      <c r="DC28">
        <f>IF(OnDemandVsReservedPercentage!58:58,"AAAAADzHf2o=",0)</f>
        <v>0</v>
      </c>
      <c r="DD28" t="e">
        <f>AND(OnDemandVsReservedPercentage!A58,"AAAAADzHf2s=")</f>
        <v>#VALUE!</v>
      </c>
      <c r="DE28" t="e">
        <f>AND(OnDemandVsReservedPercentage!B58,"AAAAADzHf2w=")</f>
        <v>#VALUE!</v>
      </c>
      <c r="DF28" t="e">
        <f>AND(OnDemandVsReservedPercentage!C58,"AAAAADzHf20=")</f>
        <v>#VALUE!</v>
      </c>
      <c r="DG28" t="e">
        <f>AND(OnDemandVsReservedPercentage!D58,"AAAAADzHf24=")</f>
        <v>#VALUE!</v>
      </c>
      <c r="DH28" t="e">
        <f>AND(OnDemandVsReservedPercentage!E58,"AAAAADzHf28=")</f>
        <v>#VALUE!</v>
      </c>
      <c r="DI28">
        <f>IF(OnDemandVsReservedPercentage!59:59,"AAAAADzHf3A=",0)</f>
        <v>0</v>
      </c>
      <c r="DJ28" t="e">
        <f>AND(OnDemandVsReservedPercentage!A59,"AAAAADzHf3E=")</f>
        <v>#VALUE!</v>
      </c>
      <c r="DK28" t="e">
        <f>AND(OnDemandVsReservedPercentage!B59,"AAAAADzHf3I=")</f>
        <v>#VALUE!</v>
      </c>
      <c r="DL28" t="e">
        <f>AND(OnDemandVsReservedPercentage!C59,"AAAAADzHf3M=")</f>
        <v>#VALUE!</v>
      </c>
      <c r="DM28" t="e">
        <f>AND(OnDemandVsReservedPercentage!D59,"AAAAADzHf3Q=")</f>
        <v>#VALUE!</v>
      </c>
      <c r="DN28" t="e">
        <f>AND(OnDemandVsReservedPercentage!E59,"AAAAADzHf3U=")</f>
        <v>#VALUE!</v>
      </c>
      <c r="DO28">
        <f>IF(OnDemandVsReservedPercentage!60:60,"AAAAADzHf3Y=",0)</f>
        <v>0</v>
      </c>
      <c r="DP28" t="e">
        <f>AND(OnDemandVsReservedPercentage!A60,"AAAAADzHf3c=")</f>
        <v>#VALUE!</v>
      </c>
      <c r="DQ28" t="e">
        <f>AND(OnDemandVsReservedPercentage!B60,"AAAAADzHf3g=")</f>
        <v>#VALUE!</v>
      </c>
      <c r="DR28" t="e">
        <f>AND(OnDemandVsReservedPercentage!C60,"AAAAADzHf3k=")</f>
        <v>#VALUE!</v>
      </c>
      <c r="DS28" t="e">
        <f>AND(OnDemandVsReservedPercentage!D60,"AAAAADzHf3o=")</f>
        <v>#VALUE!</v>
      </c>
      <c r="DT28" t="e">
        <f>AND(OnDemandVsReservedPercentage!E60,"AAAAADzHf3s=")</f>
        <v>#VALUE!</v>
      </c>
      <c r="DU28">
        <f>IF(OnDemandVsReservedPercentage!61:61,"AAAAADzHf3w=",0)</f>
        <v>0</v>
      </c>
      <c r="DV28" t="e">
        <f>AND(OnDemandVsReservedPercentage!A61,"AAAAADzHf30=")</f>
        <v>#VALUE!</v>
      </c>
      <c r="DW28" t="e">
        <f>AND(OnDemandVsReservedPercentage!B61,"AAAAADzHf34=")</f>
        <v>#VALUE!</v>
      </c>
      <c r="DX28" t="e">
        <f>AND(OnDemandVsReservedPercentage!C61,"AAAAADzHf38=")</f>
        <v>#VALUE!</v>
      </c>
      <c r="DY28" t="e">
        <f>AND(OnDemandVsReservedPercentage!D61,"AAAAADzHf4A=")</f>
        <v>#VALUE!</v>
      </c>
      <c r="DZ28" t="e">
        <f>AND(OnDemandVsReservedPercentage!E61,"AAAAADzHf4E=")</f>
        <v>#VALUE!</v>
      </c>
      <c r="EA28">
        <f>IF(OnDemandVsReservedPercentage!62:62,"AAAAADzHf4I=",0)</f>
        <v>0</v>
      </c>
      <c r="EB28" t="e">
        <f>AND(OnDemandVsReservedPercentage!A62,"AAAAADzHf4M=")</f>
        <v>#VALUE!</v>
      </c>
      <c r="EC28" t="e">
        <f>AND(OnDemandVsReservedPercentage!B62,"AAAAADzHf4Q=")</f>
        <v>#VALUE!</v>
      </c>
      <c r="ED28" t="e">
        <f>AND(OnDemandVsReservedPercentage!C62,"AAAAADzHf4U=")</f>
        <v>#VALUE!</v>
      </c>
      <c r="EE28" t="e">
        <f>AND(OnDemandVsReservedPercentage!D62,"AAAAADzHf4Y=")</f>
        <v>#VALUE!</v>
      </c>
      <c r="EF28" t="e">
        <f>AND(OnDemandVsReservedPercentage!E62,"AAAAADzHf4c=")</f>
        <v>#VALUE!</v>
      </c>
      <c r="EG28">
        <f>IF(OnDemandVsReservedPercentage!63:63,"AAAAADzHf4g=",0)</f>
        <v>0</v>
      </c>
      <c r="EH28" t="e">
        <f>AND(OnDemandVsReservedPercentage!A63,"AAAAADzHf4k=")</f>
        <v>#VALUE!</v>
      </c>
      <c r="EI28" t="e">
        <f>AND(OnDemandVsReservedPercentage!B63,"AAAAADzHf4o=")</f>
        <v>#VALUE!</v>
      </c>
      <c r="EJ28" t="e">
        <f>AND(OnDemandVsReservedPercentage!C63,"AAAAADzHf4s=")</f>
        <v>#VALUE!</v>
      </c>
      <c r="EK28" t="e">
        <f>AND(OnDemandVsReservedPercentage!D63,"AAAAADzHf4w=")</f>
        <v>#VALUE!</v>
      </c>
      <c r="EL28" t="e">
        <f>AND(OnDemandVsReservedPercentage!E63,"AAAAADzHf40=")</f>
        <v>#VALUE!</v>
      </c>
      <c r="EM28" t="e">
        <f>IF(OnDemandVsReservedPercentage!A:A,"AAAAADzHf44=",0)</f>
        <v>#VALUE!</v>
      </c>
      <c r="EN28" t="str">
        <f>IF(OnDemandVsReservedPercentage!B:B,"AAAAADzHf48=",0)</f>
        <v>AAAAADzHf48=</v>
      </c>
      <c r="EO28" t="str">
        <f>IF(OnDemandVsReservedPercentage!C:C,"AAAAADzHf5A=",0)</f>
        <v>AAAAADzHf5A=</v>
      </c>
      <c r="EP28" t="str">
        <f>IF(OnDemandVsReservedPercentage!D:D,"AAAAADzHf5E=",0)</f>
        <v>AAAAADzHf5E=</v>
      </c>
      <c r="EQ28" t="str">
        <f>IF(OnDemandVsReservedPercentage!E:E,"AAAAADzHf5I=",0)</f>
        <v>AAAAADzHf5I=</v>
      </c>
      <c r="ER28" s="116" t="s">
        <v>127</v>
      </c>
      <c r="ES28" t="s">
        <v>128</v>
      </c>
    </row>
    <row r="29" spans="1:256" x14ac:dyDescent="0.25">
      <c r="A29" t="e">
        <f>AND(PriceComparison!F117,"AAAAAGe/tQA=")</f>
        <v>#VALUE!</v>
      </c>
      <c r="B29" t="e">
        <f>AND(PriceComparison!F118,"AAAAAGe/tQE=")</f>
        <v>#VALUE!</v>
      </c>
      <c r="C29" t="e">
        <f>AND(PriceComparison!F119,"AAAAAGe/tQI=")</f>
        <v>#VALUE!</v>
      </c>
      <c r="D29" t="e">
        <f>AND(PriceComparison!F120,"AAAAAGe/tQM=")</f>
        <v>#VALUE!</v>
      </c>
      <c r="E29" t="e">
        <f>AND(PriceComparison!F121,"AAAAAGe/tQQ=")</f>
        <v>#VALUE!</v>
      </c>
      <c r="F29" t="e">
        <f>AND(PriceComparison!F122,"AAAAAGe/tQU=")</f>
        <v>#VALUE!</v>
      </c>
    </row>
    <row r="30" spans="1:256" x14ac:dyDescent="0.25">
      <c r="A30" t="e">
        <f>AND(PriceComparison!A98,"AAAAAH3f/wA=")</f>
        <v>#VALUE!</v>
      </c>
      <c r="B30" t="e">
        <f>AND(PriceComparison!D98,"AAAAAH3f/wE=")</f>
        <v>#VALUE!</v>
      </c>
      <c r="C30" t="e">
        <f>AND(PriceComparison!G98,"AAAAAH3f/wI=")</f>
        <v>#VALUE!</v>
      </c>
      <c r="D30" t="e">
        <f>AND(PriceComparison!A99,"AAAAAH3f/wM=")</f>
        <v>#VALUE!</v>
      </c>
      <c r="E30" t="e">
        <f>AND(PriceComparison!D99,"AAAAAH3f/wQ=")</f>
        <v>#VALUE!</v>
      </c>
      <c r="F30" t="e">
        <f>AND(PriceComparison!G99,"AAAAAH3f/wU=")</f>
        <v>#VALUE!</v>
      </c>
      <c r="G30" t="e">
        <f>AND(PriceComparison!A100,"AAAAAH3f/wY=")</f>
        <v>#VALUE!</v>
      </c>
      <c r="H30" t="e">
        <f>AND(PriceComparison!D100,"AAAAAH3f/wc=")</f>
        <v>#VALUE!</v>
      </c>
      <c r="I30" t="e">
        <f>AND(PriceComparison!G100,"AAAAAH3f/wg=")</f>
        <v>#VALUE!</v>
      </c>
      <c r="J30" t="e">
        <f>AND(PriceComparison!A101,"AAAAAH3f/wk=")</f>
        <v>#VALUE!</v>
      </c>
      <c r="K30" t="e">
        <f>AND(PriceComparison!D101,"AAAAAH3f/wo=")</f>
        <v>#VALUE!</v>
      </c>
      <c r="L30" t="e">
        <f>AND(PriceComparison!G101,"AAAAAH3f/ws=")</f>
        <v>#VALUE!</v>
      </c>
      <c r="M30" t="e">
        <f>AND(PriceComparison!A102,"AAAAAH3f/ww=")</f>
        <v>#VALUE!</v>
      </c>
      <c r="N30" t="e">
        <f>AND(PriceComparison!D102,"AAAAAH3f/w0=")</f>
        <v>#VALUE!</v>
      </c>
      <c r="O30" t="e">
        <f>AND(PriceComparison!G102,"AAAAAH3f/w4=")</f>
        <v>#VALUE!</v>
      </c>
      <c r="P30" t="e">
        <f>AND(PriceComparison!A103,"AAAAAH3f/w8=")</f>
        <v>#VALUE!</v>
      </c>
      <c r="Q30" t="e">
        <f>AND(PriceComparison!D103,"AAAAAH3f/xA=")</f>
        <v>#VALUE!</v>
      </c>
      <c r="R30" t="e">
        <f>AND(PriceComparison!G103,"AAAAAH3f/xE=")</f>
        <v>#VALUE!</v>
      </c>
      <c r="S30" t="e">
        <f>AND(PriceComparison!A104,"AAAAAH3f/xI=")</f>
        <v>#VALUE!</v>
      </c>
      <c r="T30" t="e">
        <f>AND(PriceComparison!D104,"AAAAAH3f/xM=")</f>
        <v>#VALUE!</v>
      </c>
      <c r="U30" t="e">
        <f>AND(PriceComparison!G104,"AAAAAH3f/xQ=")</f>
        <v>#VALUE!</v>
      </c>
      <c r="V30" t="e">
        <f>AND(PriceComparison!A105,"AAAAAH3f/xU=")</f>
        <v>#VALUE!</v>
      </c>
      <c r="W30" t="e">
        <f>AND(PriceComparison!D105,"AAAAAH3f/xY=")</f>
        <v>#VALUE!</v>
      </c>
      <c r="X30" t="e">
        <f>AND(PriceComparison!G105,"AAAAAH3f/xc=")</f>
        <v>#VALUE!</v>
      </c>
      <c r="Y30" t="e">
        <f>AND(PriceComparison!A106,"AAAAAH3f/xg=")</f>
        <v>#VALUE!</v>
      </c>
      <c r="Z30" t="e">
        <f>AND(PriceComparison!D106,"AAAAAH3f/xk=")</f>
        <v>#VALUE!</v>
      </c>
      <c r="AA30" t="e">
        <f>AND(PriceComparison!G106,"AAAAAH3f/xo=")</f>
        <v>#VALUE!</v>
      </c>
      <c r="AB30" t="e">
        <f>AND(PriceComparison!A107,"AAAAAH3f/xs=")</f>
        <v>#VALUE!</v>
      </c>
      <c r="AC30" t="e">
        <f>AND(PriceComparison!D107,"AAAAAH3f/xw=")</f>
        <v>#VALUE!</v>
      </c>
      <c r="AD30" t="e">
        <f>AND(PriceComparison!G107,"AAAAAH3f/x0=")</f>
        <v>#VALUE!</v>
      </c>
      <c r="AE30" t="e">
        <f>AND(PriceComparison!A108,"AAAAAH3f/x4=")</f>
        <v>#VALUE!</v>
      </c>
      <c r="AF30" t="e">
        <f>AND(PriceComparison!D108,"AAAAAH3f/x8=")</f>
        <v>#VALUE!</v>
      </c>
      <c r="AG30" t="e">
        <f>AND(PriceComparison!G108,"AAAAAH3f/yA=")</f>
        <v>#VALUE!</v>
      </c>
      <c r="AH30" t="e">
        <f>AND(PriceComparison!A109,"AAAAAH3f/yE=")</f>
        <v>#VALUE!</v>
      </c>
      <c r="AI30" t="e">
        <f>AND(PriceComparison!D109,"AAAAAH3f/yI=")</f>
        <v>#VALUE!</v>
      </c>
      <c r="AJ30" t="e">
        <f>AND(PriceComparison!G109,"AAAAAH3f/yM=")</f>
        <v>#VALUE!</v>
      </c>
      <c r="AK30" t="e">
        <f>AND(PriceComparison!A110,"AAAAAH3f/yQ=")</f>
        <v>#VALUE!</v>
      </c>
      <c r="AL30" t="e">
        <f>AND(PriceComparison!D110,"AAAAAH3f/yU=")</f>
        <v>#VALUE!</v>
      </c>
      <c r="AM30" t="e">
        <f>AND(PriceComparison!G110,"AAAAAH3f/yY=")</f>
        <v>#VALUE!</v>
      </c>
      <c r="AN30" t="e">
        <f>AND(PriceComparison!A111,"AAAAAH3f/yc=")</f>
        <v>#VALUE!</v>
      </c>
      <c r="AO30" t="e">
        <f>AND(PriceComparison!D111,"AAAAAH3f/yg=")</f>
        <v>#VALUE!</v>
      </c>
      <c r="AP30" t="e">
        <f>AND(PriceComparison!G111,"AAAAAH3f/yk=")</f>
        <v>#VALUE!</v>
      </c>
      <c r="AQ30" t="e">
        <f>AND(PriceComparison!A112,"AAAAAH3f/yo=")</f>
        <v>#VALUE!</v>
      </c>
      <c r="AR30" t="e">
        <f>AND(PriceComparison!B112,"AAAAAH3f/ys=")</f>
        <v>#VALUE!</v>
      </c>
      <c r="AS30" t="e">
        <f>AND(PriceComparison!C112,"AAAAAH3f/yw=")</f>
        <v>#VALUE!</v>
      </c>
      <c r="AT30" t="e">
        <f>AND(PriceComparison!D112,"AAAAAH3f/y0=")</f>
        <v>#VALUE!</v>
      </c>
      <c r="AU30" t="e">
        <f>AND(PriceComparison!E112,"AAAAAH3f/y4=")</f>
        <v>#VALUE!</v>
      </c>
      <c r="AV30" t="e">
        <f>AND(PriceComparison!F112,"AAAAAH3f/y8=")</f>
        <v>#VALUE!</v>
      </c>
      <c r="AW30">
        <f>IF(PriceComparison!119:119,"AAAAAH3f/zA=",0)</f>
        <v>0</v>
      </c>
      <c r="AX30">
        <f>IF(PriceComparison!120:120,"AAAAAH3f/zE=",0)</f>
        <v>0</v>
      </c>
      <c r="AY30">
        <f>IF(PriceComparison!121:121,"AAAAAH3f/zI=",0)</f>
        <v>0</v>
      </c>
      <c r="AZ30">
        <f>IF(PriceComparison!122:122,"AAAAAH3f/zM=",0)</f>
        <v>0</v>
      </c>
      <c r="BA30">
        <f>IF(PriceComparison!123:123,"AAAAAH3f/zQ=",0)</f>
        <v>0</v>
      </c>
      <c r="BB30">
        <f>IF(PriceComparison!124:124,"AAAAAH3f/zU=",0)</f>
        <v>0</v>
      </c>
      <c r="BC30">
        <f>IF(PriceComparison!125:125,"AAAAAH3f/zY=",0)</f>
        <v>0</v>
      </c>
      <c r="BD30">
        <f>IF(PriceComparison!126:126,"AAAAAH3f/zc=",0)</f>
        <v>0</v>
      </c>
      <c r="BE30">
        <f>IF(PriceComparison!127:127,"AAAAAH3f/zg=",0)</f>
        <v>0</v>
      </c>
      <c r="BF30">
        <f>IF(PriceComparison!128:128,"AAAAAH3f/zk=",0)</f>
        <v>0</v>
      </c>
      <c r="BG30">
        <f>IF(PriceComparison!129:129,"AAAAAH3f/zo=",0)</f>
        <v>0</v>
      </c>
      <c r="BH30">
        <f>IF(PriceComparison!130:130,"AAAAAH3f/zs=",0)</f>
        <v>0</v>
      </c>
      <c r="BI30">
        <f>IF(PriceComparison!131:131,"AAAAAH3f/zw=",0)</f>
        <v>0</v>
      </c>
      <c r="BJ30">
        <f>IF(PriceComparison!132:132,"AAAAAH3f/z0=",0)</f>
        <v>0</v>
      </c>
      <c r="BK30">
        <f>IF(PriceComparison!133:133,"AAAAAH3f/z4=",0)</f>
        <v>0</v>
      </c>
    </row>
    <row r="31" spans="1:256" x14ac:dyDescent="0.25">
      <c r="A31">
        <f>IF(PriceComparisonGraphs!102:102,"AAAAAC159gA=",0)</f>
        <v>0</v>
      </c>
      <c r="B31" t="e">
        <f>AND(PriceComparisonGraphs!A102,"AAAAAC159gE=")</f>
        <v>#VALUE!</v>
      </c>
      <c r="C31">
        <f>IF(PriceComparisonGraphs!103:103,"AAAAAC159gI=",0)</f>
        <v>0</v>
      </c>
      <c r="D31" t="e">
        <f>AND(PriceComparisonGraphs!A103,"AAAAAC159gM=")</f>
        <v>#VALUE!</v>
      </c>
      <c r="E31">
        <f>IF(PriceComparisonGraphs!104:104,"AAAAAC159gQ=",0)</f>
        <v>0</v>
      </c>
      <c r="F31" t="e">
        <f>AND(PriceComparisonGraphs!A104,"AAAAAC159gU=")</f>
        <v>#VALUE!</v>
      </c>
      <c r="G31">
        <f>IF(PriceComparisonGraphs!105:105,"AAAAAC159gY=",0)</f>
        <v>0</v>
      </c>
      <c r="H31" t="e">
        <f>AND(PriceComparisonGraphs!A105,"AAAAAC159gc=")</f>
        <v>#VALUE!</v>
      </c>
      <c r="I31">
        <f>IF(PriceComparisonGraphs!106:106,"AAAAAC159gg=",0)</f>
        <v>0</v>
      </c>
      <c r="J31" t="e">
        <f>AND(PriceComparisonGraphs!A106,"AAAAAC159gk=")</f>
        <v>#VALUE!</v>
      </c>
      <c r="K31">
        <f>IF(PriceComparisonGraphs!107:107,"AAAAAC159go=",0)</f>
        <v>0</v>
      </c>
      <c r="L31" t="e">
        <f>AND(PriceComparisonGraphs!A107,"AAAAAC159gs=")</f>
        <v>#VALUE!</v>
      </c>
      <c r="M31">
        <f>IF(PriceComparisonGraphs!108:108,"AAAAAC159gw=",0)</f>
        <v>0</v>
      </c>
      <c r="N31" t="e">
        <f>AND(PriceComparisonGraphs!A108,"AAAAAC159g0=")</f>
        <v>#VALUE!</v>
      </c>
      <c r="O31">
        <f>IF(PriceComparisonGraphs!109:109,"AAAAAC159g4=",0)</f>
        <v>0</v>
      </c>
      <c r="P31" t="e">
        <f>AND(PriceComparisonGraphs!A109,"AAAAAC159g8=")</f>
        <v>#VALUE!</v>
      </c>
      <c r="Q31">
        <f>IF(PriceComparisonGraphs!110:110,"AAAAAC159hA=",0)</f>
        <v>0</v>
      </c>
      <c r="R31" t="e">
        <f>AND(PriceComparisonGraphs!A110,"AAAAAC159hE=")</f>
        <v>#VALUE!</v>
      </c>
      <c r="S31">
        <f>IF(PriceComparisonGraphs!111:111,"AAAAAC159hI=",0)</f>
        <v>0</v>
      </c>
      <c r="T31" t="e">
        <f>AND(PriceComparisonGraphs!A111,"AAAAAC159hM=")</f>
        <v>#VALUE!</v>
      </c>
      <c r="U31">
        <f>IF(PriceComparisonGraphs!112:112,"AAAAAC159hQ=",0)</f>
        <v>0</v>
      </c>
      <c r="V31" t="e">
        <f>AND(PriceComparisonGraphs!A112,"AAAAAC159hU=")</f>
        <v>#VALUE!</v>
      </c>
      <c r="W31">
        <f>IF(PriceComparisonGraphs!113:113,"AAAAAC159hY=",0)</f>
        <v>0</v>
      </c>
      <c r="X31" t="e">
        <f>AND(PriceComparisonGraphs!A113,"AAAAAC159hc=")</f>
        <v>#VALUE!</v>
      </c>
      <c r="Y31">
        <f>IF(PriceComparisonGraphs!114:114,"AAAAAC159hg=",0)</f>
        <v>0</v>
      </c>
      <c r="Z31" t="e">
        <f>AND(PriceComparisonGraphs!A114,"AAAAAC159hk=")</f>
        <v>#VALUE!</v>
      </c>
      <c r="AA31">
        <f>IF(PriceComparisonGraphs!115:115,"AAAAAC159ho=",0)</f>
        <v>0</v>
      </c>
      <c r="AB31" t="e">
        <f>AND(PriceComparisonGraphs!A115,"AAAAAC159hs=")</f>
        <v>#VALUE!</v>
      </c>
      <c r="AC31">
        <f>IF(PriceComparisonGraphs!116:116,"AAAAAC159hw=",0)</f>
        <v>0</v>
      </c>
      <c r="AD31" t="e">
        <f>AND(PriceComparisonGraphs!A116,"AAAAAC159h0=")</f>
        <v>#VALUE!</v>
      </c>
      <c r="AE31">
        <f>IF(PriceComparisonGraphs!117:117,"AAAAAC159h4=",0)</f>
        <v>0</v>
      </c>
      <c r="AF31" t="e">
        <f>AND(PriceComparisonGraphs!A117,"AAAAAC159h8=")</f>
        <v>#VALUE!</v>
      </c>
      <c r="AG31">
        <f>IF(PriceComparisonGraphs!118:118,"AAAAAC159iA=",0)</f>
        <v>0</v>
      </c>
      <c r="AH31" t="e">
        <f>AND(PriceComparisonGraphs!A118,"AAAAAC159iE=")</f>
        <v>#VALUE!</v>
      </c>
      <c r="AI31">
        <f>IF(PriceComparisonGraphs!119:119,"AAAAAC159iI=",0)</f>
        <v>0</v>
      </c>
      <c r="AJ31" t="e">
        <f>AND(PriceComparisonGraphs!A119,"AAAAAC159iM=")</f>
        <v>#VALUE!</v>
      </c>
      <c r="AK31">
        <f>IF(PriceComparisonGraphs!120:120,"AAAAAC159iQ=",0)</f>
        <v>0</v>
      </c>
      <c r="AL31" t="e">
        <f>AND(PriceComparisonGraphs!A120,"AAAAAC159iU=")</f>
        <v>#VALUE!</v>
      </c>
      <c r="AM31">
        <f>IF(PriceComparisonGraphs!121:121,"AAAAAC159iY=",0)</f>
        <v>0</v>
      </c>
      <c r="AN31" t="e">
        <f>AND(PriceComparisonGraphs!A121,"AAAAAC159ic=")</f>
        <v>#VALUE!</v>
      </c>
      <c r="AO31">
        <f>IF(PriceComparisonGraphs!122:122,"AAAAAC159ig=",0)</f>
        <v>0</v>
      </c>
      <c r="AP31" t="e">
        <f>AND(PriceComparisonGraphs!A122,"AAAAAC159ik=")</f>
        <v>#VALUE!</v>
      </c>
      <c r="AQ31">
        <f>IF(PriceComparisonGraphs!123:123,"AAAAAC159io=",0)</f>
        <v>0</v>
      </c>
      <c r="AR31" t="e">
        <f>AND(PriceComparisonGraphs!A123,"AAAAAC159is=")</f>
        <v>#VALUE!</v>
      </c>
      <c r="AS31">
        <f>IF(PriceComparisonGraphs!124:124,"AAAAAC159iw=",0)</f>
        <v>0</v>
      </c>
      <c r="AT31" t="e">
        <f>AND(PriceComparisonGraphs!A124,"AAAAAC159i0=")</f>
        <v>#VALUE!</v>
      </c>
      <c r="AU31">
        <f>IF(PriceComparisonGraphs!125:125,"AAAAAC159i4=",0)</f>
        <v>0</v>
      </c>
      <c r="AV31" t="e">
        <f>AND(PriceComparisonGraphs!A125,"AAAAAC159i8=")</f>
        <v>#VALUE!</v>
      </c>
      <c r="AW31">
        <f>IF(PriceComparisonGraphs!126:126,"AAAAAC159jA=",0)</f>
        <v>0</v>
      </c>
      <c r="AX31" t="e">
        <f>AND(PriceComparisonGraphs!A126,"AAAAAC159jE=")</f>
        <v>#VALUE!</v>
      </c>
      <c r="AY31">
        <f>IF(PriceComparisonGraphs!127:127,"AAAAAC159jI=",0)</f>
        <v>0</v>
      </c>
      <c r="AZ31" t="e">
        <f>AND(PriceComparisonGraphs!A127,"AAAAAC159jM=")</f>
        <v>#VALUE!</v>
      </c>
      <c r="BA31">
        <f>IF(PriceComparisonGraphs!128:128,"AAAAAC159jQ=",0)</f>
        <v>0</v>
      </c>
      <c r="BB31" t="e">
        <f>AND(PriceComparisonGraphs!A128,"AAAAAC159jU=")</f>
        <v>#VALUE!</v>
      </c>
      <c r="BC31">
        <f>IF(PriceComparisonGraphs!129:129,"AAAAAC159jY=",0)</f>
        <v>0</v>
      </c>
      <c r="BD31" t="e">
        <f>AND(PriceComparisonGraphs!A129,"AAAAAC159jc=")</f>
        <v>#VALUE!</v>
      </c>
      <c r="BE31">
        <f>IF(PriceComparisonGraphs!130:130,"AAAAAC159jg=",0)</f>
        <v>0</v>
      </c>
      <c r="BF31" t="e">
        <f>AND(PriceComparisonGraphs!A130,"AAAAAC159jk=")</f>
        <v>#VALUE!</v>
      </c>
      <c r="BG31">
        <f>IF(PriceComparisonGraphs!131:131,"AAAAAC159jo=",0)</f>
        <v>0</v>
      </c>
      <c r="BH31" t="e">
        <f>AND(PriceComparisonGraphs!A131,"AAAAAC159js=")</f>
        <v>#VALUE!</v>
      </c>
      <c r="BI31">
        <f>IF(PriceComparisonGraphs!132:132,"AAAAAC159jw=",0)</f>
        <v>0</v>
      </c>
      <c r="BJ31" t="e">
        <f>AND(PriceComparisonGraphs!A132,"AAAAAC159j0=")</f>
        <v>#VALUE!</v>
      </c>
      <c r="BK31">
        <f>IF(PriceComparisonGraphs!133:133,"AAAAAC159j4=",0)</f>
        <v>0</v>
      </c>
      <c r="BL31" t="e">
        <f>AND(PriceComparisonGraphs!A133,"AAAAAC159j8=")</f>
        <v>#VALUE!</v>
      </c>
      <c r="BM31">
        <f>IF(PriceComparisonGraphs!134:134,"AAAAAC159kA=",0)</f>
        <v>0</v>
      </c>
      <c r="BN31" t="e">
        <f>AND(PriceComparisonGraphs!A134,"AAAAAC159kE=")</f>
        <v>#VALUE!</v>
      </c>
    </row>
    <row r="32" spans="1:256" x14ac:dyDescent="0.25">
      <c r="A32">
        <f>IF(PriceComparisonNormalised!115:115,"AAAAAC//XgA=",0)</f>
        <v>0</v>
      </c>
      <c r="B32" t="e">
        <f>AND(PriceComparisonNormalised!A115,"AAAAAC//XgE=")</f>
        <v>#VALUE!</v>
      </c>
      <c r="C32" t="e">
        <f>AND(PriceComparisonNormalised!B115,"AAAAAC//XgI=")</f>
        <v>#VALUE!</v>
      </c>
      <c r="D32" t="e">
        <f>AND(PriceComparisonNormalised!C115,"AAAAAC//XgM=")</f>
        <v>#VALUE!</v>
      </c>
      <c r="E32">
        <f>IF(PriceComparisonNormalised!116:116,"AAAAAC//XgQ=",0)</f>
        <v>0</v>
      </c>
      <c r="F32" t="e">
        <f>AND(PriceComparisonNormalised!A116,"AAAAAC//XgU=")</f>
        <v>#VALUE!</v>
      </c>
      <c r="G32" t="e">
        <f>AND(PriceComparisonNormalised!B116,"AAAAAC//XgY=")</f>
        <v>#VALUE!</v>
      </c>
      <c r="H32" t="e">
        <f>AND(PriceComparisonNormalised!C116,"AAAAAC//Xgc=")</f>
        <v>#VALUE!</v>
      </c>
      <c r="I32">
        <f>IF(PriceComparisonNormalised!117:117,"AAAAAC//Xgg=",0)</f>
        <v>0</v>
      </c>
      <c r="J32" t="e">
        <f>AND(PriceComparisonNormalised!A117,"AAAAAC//Xgk=")</f>
        <v>#VALUE!</v>
      </c>
      <c r="K32" t="e">
        <f>AND(PriceComparisonNormalised!B117,"AAAAAC//Xgo=")</f>
        <v>#VALUE!</v>
      </c>
      <c r="L32" t="e">
        <f>AND(PriceComparisonNormalised!C117,"AAAAAC//Xgs=")</f>
        <v>#VALUE!</v>
      </c>
      <c r="M32">
        <f>IF(PriceComparisonNormalised!118:118,"AAAAAC//Xgw=",0)</f>
        <v>0</v>
      </c>
      <c r="N32" t="e">
        <f>AND(PriceComparisonNormalised!A118,"AAAAAC//Xg0=")</f>
        <v>#VALUE!</v>
      </c>
      <c r="O32" t="e">
        <f>AND(PriceComparisonNormalised!B118,"AAAAAC//Xg4=")</f>
        <v>#VALUE!</v>
      </c>
      <c r="P32" t="e">
        <f>AND(PriceComparisonNormalised!C118,"AAAAAC//Xg8=")</f>
        <v>#VALUE!</v>
      </c>
      <c r="Q32">
        <f>IF(PriceComparisonNormalised!119:119,"AAAAAC//XhA=",0)</f>
        <v>0</v>
      </c>
      <c r="R32" t="e">
        <f>AND(PriceComparisonNormalised!A119,"AAAAAC//XhE=")</f>
        <v>#VALUE!</v>
      </c>
      <c r="S32" t="e">
        <f>AND(PriceComparisonNormalised!B119,"AAAAAC//XhI=")</f>
        <v>#VALUE!</v>
      </c>
      <c r="T32" t="e">
        <f>AND(PriceComparisonNormalised!C119,"AAAAAC//XhM=")</f>
        <v>#VALUE!</v>
      </c>
      <c r="U32">
        <f>IF(PriceComparisonNormalised!120:120,"AAAAAC//XhQ=",0)</f>
        <v>0</v>
      </c>
      <c r="V32" t="e">
        <f>AND(PriceComparisonNormalised!A120,"AAAAAC//XhU=")</f>
        <v>#VALUE!</v>
      </c>
      <c r="W32" t="e">
        <f>AND(PriceComparisonNormalised!B120,"AAAAAC//XhY=")</f>
        <v>#VALUE!</v>
      </c>
      <c r="X32" t="e">
        <f>AND(PriceComparisonNormalised!C120,"AAAAAC//Xhc=")</f>
        <v>#VALUE!</v>
      </c>
      <c r="Y32">
        <f>IF(PriceComparisonNormalised!121:121,"AAAAAC//Xhg=",0)</f>
        <v>0</v>
      </c>
      <c r="Z32" t="e">
        <f>AND(PriceComparisonNormalised!A121,"AAAAAC//Xhk=")</f>
        <v>#VALUE!</v>
      </c>
      <c r="AA32" t="e">
        <f>AND(PriceComparisonNormalised!B121,"AAAAAC//Xho=")</f>
        <v>#VALUE!</v>
      </c>
      <c r="AB32" t="e">
        <f>AND(PriceComparisonNormalised!C121,"AAAAAC//Xhs=")</f>
        <v>#VALUE!</v>
      </c>
      <c r="AC32">
        <f>IF(PriceComparisonNormalised!122:122,"AAAAAC//Xhw=",0)</f>
        <v>0</v>
      </c>
      <c r="AD32" t="e">
        <f>AND(PriceComparisonNormalised!A122,"AAAAAC//Xh0=")</f>
        <v>#VALUE!</v>
      </c>
      <c r="AE32" t="e">
        <f>AND(PriceComparisonNormalised!B122,"AAAAAC//Xh4=")</f>
        <v>#VALUE!</v>
      </c>
      <c r="AF32" t="e">
        <f>AND(PriceComparisonNormalised!C122,"AAAAAC//Xh8=")</f>
        <v>#VALUE!</v>
      </c>
      <c r="AG32">
        <f>IF(PriceComparisonNormalised!123:123,"AAAAAC//XiA=",0)</f>
        <v>0</v>
      </c>
      <c r="AH32" t="e">
        <f>AND(PriceComparisonNormalised!A123,"AAAAAC//XiE=")</f>
        <v>#VALUE!</v>
      </c>
      <c r="AI32" t="e">
        <f>AND(PriceComparisonNormalised!B123,"AAAAAC//XiI=")</f>
        <v>#VALUE!</v>
      </c>
      <c r="AJ32" t="e">
        <f>AND(PriceComparisonNormalised!C123,"AAAAAC//XiM=")</f>
        <v>#VALUE!</v>
      </c>
      <c r="AK32">
        <f>IF(PriceComparisonNormalised!124:124,"AAAAAC//XiQ=",0)</f>
        <v>0</v>
      </c>
      <c r="AL32" t="e">
        <f>AND(PriceComparisonNormalised!A124,"AAAAAC//XiU=")</f>
        <v>#VALUE!</v>
      </c>
      <c r="AM32" t="e">
        <f>AND(PriceComparisonNormalised!B124,"AAAAAC//XiY=")</f>
        <v>#VALUE!</v>
      </c>
      <c r="AN32" t="e">
        <f>AND(PriceComparisonNormalised!C124,"AAAAAC//Xic=")</f>
        <v>#VALUE!</v>
      </c>
      <c r="AO32">
        <f>IF(PriceComparisonNormalised!125:125,"AAAAAC//Xig=",0)</f>
        <v>0</v>
      </c>
      <c r="AP32" t="e">
        <f>AND(PriceComparisonNormalised!A125,"AAAAAC//Xik=")</f>
        <v>#VALUE!</v>
      </c>
      <c r="AQ32" t="e">
        <f>AND(PriceComparisonNormalised!B125,"AAAAAC//Xio=")</f>
        <v>#VALUE!</v>
      </c>
      <c r="AR32" t="e">
        <f>AND(PriceComparisonNormalised!C125,"AAAAAC//Xis=")</f>
        <v>#VALUE!</v>
      </c>
      <c r="AS32">
        <f>IF(PriceComparisonNormalised!126:126,"AAAAAC//Xiw=",0)</f>
        <v>0</v>
      </c>
      <c r="AT32" t="e">
        <f>AND(PriceComparisonNormalised!A126,"AAAAAC//Xi0=")</f>
        <v>#VALUE!</v>
      </c>
      <c r="AU32" t="e">
        <f>AND(PriceComparisonNormalised!B126,"AAAAAC//Xi4=")</f>
        <v>#VALUE!</v>
      </c>
      <c r="AV32" t="e">
        <f>AND(PriceComparisonNormalised!C126,"AAAAAC//Xi8=")</f>
        <v>#VALUE!</v>
      </c>
      <c r="AW32">
        <f>IF(PriceComparisonNormalised!127:127,"AAAAAC//XjA=",0)</f>
        <v>0</v>
      </c>
      <c r="AX32" t="e">
        <f>AND(PriceComparisonNormalised!A127,"AAAAAC//XjE=")</f>
        <v>#VALUE!</v>
      </c>
      <c r="AY32" t="e">
        <f>AND(PriceComparisonNormalised!B127,"AAAAAC//XjI=")</f>
        <v>#VALUE!</v>
      </c>
      <c r="AZ32" t="e">
        <f>AND(PriceComparisonNormalised!C127,"AAAAAC//XjM=")</f>
        <v>#VALUE!</v>
      </c>
      <c r="BA32">
        <f>IF(PriceComparisonNormalised!128:128,"AAAAAC//XjQ=",0)</f>
        <v>0</v>
      </c>
      <c r="BB32" t="e">
        <f>AND(PriceComparisonNormalised!A128,"AAAAAC//XjU=")</f>
        <v>#VALUE!</v>
      </c>
      <c r="BC32" t="e">
        <f>AND(PriceComparisonNormalised!B128,"AAAAAC//XjY=")</f>
        <v>#VALUE!</v>
      </c>
      <c r="BD32" t="e">
        <f>AND(PriceComparisonNormalised!C128,"AAAAAC//Xjc=")</f>
        <v>#VALUE!</v>
      </c>
      <c r="BE32">
        <f>IF(PriceComparisonNormalised!129:129,"AAAAAC//Xjg=",0)</f>
        <v>0</v>
      </c>
      <c r="BF32" t="e">
        <f>AND(PriceComparisonNormalised!A129,"AAAAAC//Xjk=")</f>
        <v>#VALUE!</v>
      </c>
      <c r="BG32" t="e">
        <f>AND(PriceComparisonNormalised!B129,"AAAAAC//Xjo=")</f>
        <v>#VALUE!</v>
      </c>
      <c r="BH32" t="e">
        <f>AND(PriceComparisonNormalised!C129,"AAAAAC//Xjs=")</f>
        <v>#VALUE!</v>
      </c>
      <c r="BI32">
        <f>IF(PriceComparisonNormalised!130:130,"AAAAAC//Xjw=",0)</f>
        <v>0</v>
      </c>
      <c r="BJ32" t="e">
        <f>AND(PriceComparisonNormalised!A130,"AAAAAC//Xj0=")</f>
        <v>#VALUE!</v>
      </c>
      <c r="BK32" t="e">
        <f>AND(PriceComparisonNormalised!B130,"AAAAAC//Xj4=")</f>
        <v>#VALUE!</v>
      </c>
      <c r="BL32" t="e">
        <f>AND(PriceComparisonNormalised!C130,"AAAAAC//Xj8=")</f>
        <v>#VALUE!</v>
      </c>
      <c r="BM32">
        <f>IF(PriceComparisonNormalised!131:131,"AAAAAC//XkA=",0)</f>
        <v>0</v>
      </c>
      <c r="BN32" t="e">
        <f>AND(PriceComparisonNormalised!A131,"AAAAAC//XkE=")</f>
        <v>#VALUE!</v>
      </c>
      <c r="BO32" t="e">
        <f>AND(PriceComparisonNormalised!B131,"AAAAAC//XkI=")</f>
        <v>#VALUE!</v>
      </c>
      <c r="BP32" t="e">
        <f>AND(PriceComparisonNormalised!C131,"AAAAAC//XkM=")</f>
        <v>#VALUE!</v>
      </c>
      <c r="BQ32">
        <f>IF(PriceComparisonNormalised!132:132,"AAAAAC//XkQ=",0)</f>
        <v>0</v>
      </c>
      <c r="BR32" t="e">
        <f>AND(PriceComparisonNormalised!A132,"AAAAAC//XkU=")</f>
        <v>#VALUE!</v>
      </c>
      <c r="BS32" t="e">
        <f>AND(PriceComparisonNormalised!B132,"AAAAAC//XkY=")</f>
        <v>#VALUE!</v>
      </c>
      <c r="BT32" t="e">
        <f>AND(PriceComparisonNormalised!C132,"AAAAAC//Xkc=")</f>
        <v>#VALUE!</v>
      </c>
      <c r="BU32">
        <f>IF(PriceComparisonNormalised!133:133,"AAAAAC//Xkg=",0)</f>
        <v>0</v>
      </c>
      <c r="BV32" t="e">
        <f>AND(PriceComparisonNormalised!A133,"AAAAAC//Xkk=")</f>
        <v>#VALUE!</v>
      </c>
      <c r="BW32" t="e">
        <f>AND(PriceComparisonNormalised!B133,"AAAAAC//Xko=")</f>
        <v>#VALUE!</v>
      </c>
      <c r="BX32" t="e">
        <f>AND(PriceComparisonNormalised!C133,"AAAAAC//Xks=")</f>
        <v>#VALUE!</v>
      </c>
      <c r="BY32">
        <f>IF(PriceComparisonNormalised!134:134,"AAAAAC//Xkw=",0)</f>
        <v>0</v>
      </c>
      <c r="BZ32" t="e">
        <f>AND(PriceComparisonNormalised!A134,"AAAAAC//Xk0=")</f>
        <v>#VALUE!</v>
      </c>
      <c r="CA32" t="e">
        <f>AND(PriceComparisonNormalised!B134,"AAAAAC//Xk4=")</f>
        <v>#VALUE!</v>
      </c>
      <c r="CB32" t="e">
        <f>AND(PriceComparisonNormalised!C134,"AAAAAC//Xk8=")</f>
        <v>#VALUE!</v>
      </c>
      <c r="CC32">
        <f>IF(PriceComparisonNormalised!135:135,"AAAAAC//XlA=",0)</f>
        <v>0</v>
      </c>
      <c r="CD32" t="e">
        <f>AND(PriceComparisonNormalised!A135,"AAAAAC//XlE=")</f>
        <v>#VALUE!</v>
      </c>
      <c r="CE32" t="e">
        <f>AND(PriceComparisonNormalised!B135,"AAAAAC//XlI=")</f>
        <v>#VALUE!</v>
      </c>
      <c r="CF32" t="e">
        <f>AND(PriceComparisonNormalised!C135,"AAAAAC//XlM=")</f>
        <v>#VALUE!</v>
      </c>
      <c r="CG32">
        <f>IF(PriceComparisonNormalised!136:136,"AAAAAC//XlQ=",0)</f>
        <v>0</v>
      </c>
      <c r="CH32" t="e">
        <f>AND(PriceComparisonNormalised!A136,"AAAAAC//XlU=")</f>
        <v>#VALUE!</v>
      </c>
      <c r="CI32" t="e">
        <f>AND(PriceComparisonNormalised!B136,"AAAAAC//XlY=")</f>
        <v>#VALUE!</v>
      </c>
      <c r="CJ32" t="e">
        <f>AND(PriceComparisonNormalised!C136,"AAAAAC//Xlc=")</f>
        <v>#VALUE!</v>
      </c>
      <c r="CK32">
        <f>IF(PriceComparisonNormalised!137:137,"AAAAAC//Xlg=",0)</f>
        <v>0</v>
      </c>
      <c r="CL32" t="e">
        <f>AND(PriceComparisonNormalised!A137,"AAAAAC//Xlk=")</f>
        <v>#VALUE!</v>
      </c>
      <c r="CM32" t="e">
        <f>AND(PriceComparisonNormalised!B137,"AAAAAC//Xlo=")</f>
        <v>#VALUE!</v>
      </c>
      <c r="CN32" t="e">
        <f>AND(PriceComparisonNormalised!C137,"AAAAAC//Xls=")</f>
        <v>#VALUE!</v>
      </c>
      <c r="CO32">
        <f>IF(PriceComparisonNormalised!138:138,"AAAAAC//Xlw=",0)</f>
        <v>0</v>
      </c>
      <c r="CP32" t="e">
        <f>AND(PriceComparisonNormalised!A138,"AAAAAC//Xl0=")</f>
        <v>#VALUE!</v>
      </c>
      <c r="CQ32" t="e">
        <f>AND(PriceComparisonNormalised!B138,"AAAAAC//Xl4=")</f>
        <v>#VALUE!</v>
      </c>
      <c r="CR32" t="e">
        <f>AND(PriceComparisonNormalised!C138,"AAAAAC//Xl8=")</f>
        <v>#VALUE!</v>
      </c>
      <c r="CS32">
        <f>IF(PriceComparisonNormalised!139:139,"AAAAAC//XmA=",0)</f>
        <v>0</v>
      </c>
      <c r="CT32" t="e">
        <f>AND(PriceComparisonNormalised!A139,"AAAAAC//XmE=")</f>
        <v>#VALUE!</v>
      </c>
      <c r="CU32" t="e">
        <f>AND(PriceComparisonNormalised!B139,"AAAAAC//XmI=")</f>
        <v>#VALUE!</v>
      </c>
      <c r="CV32" t="e">
        <f>AND(PriceComparisonNormalised!C139,"AAAAAC//XmM=")</f>
        <v>#VALUE!</v>
      </c>
      <c r="CW32">
        <f>IF(PriceComparisonNormalised!140:140,"AAAAAC//XmQ=",0)</f>
        <v>0</v>
      </c>
      <c r="CX32" t="e">
        <f>AND(PriceComparisonNormalised!A140,"AAAAAC//XmU=")</f>
        <v>#VALUE!</v>
      </c>
      <c r="CY32" t="e">
        <f>AND(PriceComparisonNormalised!B140,"AAAAAC//XmY=")</f>
        <v>#VALUE!</v>
      </c>
      <c r="CZ32" t="e">
        <f>AND(PriceComparisonNormalised!C140,"AAAAAC//Xmc=")</f>
        <v>#VALUE!</v>
      </c>
      <c r="DA32">
        <f>IF(PriceComparisonNormalised!141:141,"AAAAAC//Xmg=",0)</f>
        <v>0</v>
      </c>
      <c r="DB32" t="e">
        <f>AND(PriceComparisonNormalised!A141,"AAAAAC//Xmk=")</f>
        <v>#VALUE!</v>
      </c>
      <c r="DC32" t="e">
        <f>AND(PriceComparisonNormalised!B141,"AAAAAC//Xmo=")</f>
        <v>#VALUE!</v>
      </c>
      <c r="DD32" t="e">
        <f>AND(PriceComparisonNormalised!C141,"AAAAAC//Xms=")</f>
        <v>#VALUE!</v>
      </c>
      <c r="DE32">
        <f>IF(PriceComparisonNormalised!142:142,"AAAAAC//Xmw=",0)</f>
        <v>0</v>
      </c>
      <c r="DF32" t="e">
        <f>AND(PriceComparisonNormalised!A142,"AAAAAC//Xm0=")</f>
        <v>#VALUE!</v>
      </c>
      <c r="DG32" t="e">
        <f>AND(PriceComparisonNormalised!B142,"AAAAAC//Xm4=")</f>
        <v>#VALUE!</v>
      </c>
      <c r="DH32" t="e">
        <f>AND(PriceComparisonNormalised!C142,"AAAAAC//Xm8=")</f>
        <v>#VALUE!</v>
      </c>
      <c r="DI32">
        <f>IF(PriceComparisonNormalised!143:143,"AAAAAC//XnA=",0)</f>
        <v>0</v>
      </c>
      <c r="DJ32" t="e">
        <f>AND(PriceComparisonNormalised!A143,"AAAAAC//XnE=")</f>
        <v>#VALUE!</v>
      </c>
      <c r="DK32" t="e">
        <f>AND(PriceComparisonNormalised!B143,"AAAAAC//XnI=")</f>
        <v>#VALUE!</v>
      </c>
      <c r="DL32" t="e">
        <f>AND(PriceComparisonNormalised!C143,"AAAAAC//XnM=")</f>
        <v>#VALUE!</v>
      </c>
      <c r="DM32">
        <f>IF(PriceComparisonNormalised!144:144,"AAAAAC//XnQ=",0)</f>
        <v>0</v>
      </c>
      <c r="DN32" t="e">
        <f>AND(PriceComparisonNormalised!A144,"AAAAAC//XnU=")</f>
        <v>#VALUE!</v>
      </c>
      <c r="DO32" t="e">
        <f>AND(PriceComparisonNormalised!B144,"AAAAAC//XnY=")</f>
        <v>#VALUE!</v>
      </c>
      <c r="DP32" t="e">
        <f>AND(PriceComparisonNormalised!C144,"AAAAAC//Xnc=")</f>
        <v>#VALUE!</v>
      </c>
      <c r="DQ32">
        <f>IF(PriceComparisonNormalised!145:145,"AAAAAC//Xng=",0)</f>
        <v>0</v>
      </c>
      <c r="DR32" t="e">
        <f>AND(PriceComparisonNormalised!A145,"AAAAAC//Xnk=")</f>
        <v>#VALUE!</v>
      </c>
      <c r="DS32" t="e">
        <f>AND(PriceComparisonNormalised!B145,"AAAAAC//Xno=")</f>
        <v>#VALUE!</v>
      </c>
      <c r="DT32" t="e">
        <f>AND(PriceComparisonNormalised!C145,"AAAAAC//Xns=")</f>
        <v>#VALUE!</v>
      </c>
      <c r="DU32">
        <f>IF(PriceComparisonNormalised!146:146,"AAAAAC//Xnw=",0)</f>
        <v>0</v>
      </c>
      <c r="DV32" t="e">
        <f>AND(PriceComparisonNormalised!A146,"AAAAAC//Xn0=")</f>
        <v>#VALUE!</v>
      </c>
      <c r="DW32" t="e">
        <f>AND(PriceComparisonNormalised!B146,"AAAAAC//Xn4=")</f>
        <v>#VALUE!</v>
      </c>
      <c r="DX32" t="e">
        <f>AND(PriceComparisonNormalised!C146,"AAAAAC//Xn8=")</f>
        <v>#VALUE!</v>
      </c>
      <c r="DY32">
        <f>IF(PriceComparisonNormalised!147:147,"AAAAAC//XoA=",0)</f>
        <v>0</v>
      </c>
      <c r="DZ32" t="e">
        <f>AND(PriceComparisonNormalised!A147,"AAAAAC//XoE=")</f>
        <v>#VALUE!</v>
      </c>
      <c r="EA32" t="e">
        <f>AND(PriceComparisonNormalised!B147,"AAAAAC//XoI=")</f>
        <v>#VALUE!</v>
      </c>
      <c r="EB32" t="e">
        <f>AND(PriceComparisonNormalised!C147,"AAAAAC//XoM=")</f>
        <v>#VALUE!</v>
      </c>
      <c r="EC32">
        <f>IF(PriceComparisonNormalised!148:148,"AAAAAC//XoQ=",0)</f>
        <v>0</v>
      </c>
      <c r="ED32" t="e">
        <f>AND(PriceComparisonNormalised!A148,"AAAAAC//XoU=")</f>
        <v>#VALUE!</v>
      </c>
      <c r="EE32" t="e">
        <f>AND(PriceComparisonNormalised!B148,"AAAAAC//XoY=")</f>
        <v>#VALUE!</v>
      </c>
      <c r="EF32" t="e">
        <f>AND(PriceComparisonNormalised!C148,"AAAAAC//Xoc=")</f>
        <v>#VALUE!</v>
      </c>
    </row>
    <row r="33" spans="1:256" x14ac:dyDescent="0.25">
      <c r="A33" t="e">
        <f>AND(OnDemandVsReservedPercentage!F1,"AAAAAD6z/QA=")</f>
        <v>#VALUE!</v>
      </c>
      <c r="B33" t="e">
        <f>AND(OnDemandVsReservedPercentage!F2,"AAAAAD6z/QE=")</f>
        <v>#VALUE!</v>
      </c>
      <c r="C33" t="e">
        <f>AND(OnDemandVsReservedPercentage!F3,"AAAAAD6z/QI=")</f>
        <v>#VALUE!</v>
      </c>
      <c r="D33" t="e">
        <f>AND(OnDemandVsReservedPercentage!F4,"AAAAAD6z/QM=")</f>
        <v>#VALUE!</v>
      </c>
      <c r="E33" t="e">
        <f>AND(OnDemandVsReservedPercentage!F5,"AAAAAD6z/QQ=")</f>
        <v>#VALUE!</v>
      </c>
      <c r="F33" t="e">
        <f>AND(OnDemandVsReservedPercentage!F6,"AAAAAD6z/QU=")</f>
        <v>#VALUE!</v>
      </c>
      <c r="G33" t="e">
        <f>AND(OnDemandVsReservedPercentage!F7,"AAAAAD6z/QY=")</f>
        <v>#VALUE!</v>
      </c>
      <c r="H33" t="e">
        <f>AND(OnDemandVsReservedPercentage!F8,"AAAAAD6z/Qc=")</f>
        <v>#VALUE!</v>
      </c>
      <c r="I33" t="e">
        <f>AND(OnDemandVsReservedPercentage!F9,"AAAAAD6z/Qg=")</f>
        <v>#VALUE!</v>
      </c>
      <c r="J33" t="e">
        <f>AND(OnDemandVsReservedPercentage!F10,"AAAAAD6z/Qk=")</f>
        <v>#VALUE!</v>
      </c>
      <c r="K33" t="e">
        <f>AND(OnDemandVsReservedPercentage!F11,"AAAAAD6z/Qo=")</f>
        <v>#VALUE!</v>
      </c>
      <c r="L33" t="e">
        <f>AND(OnDemandVsReservedPercentage!F12,"AAAAAD6z/Qs=")</f>
        <v>#VALUE!</v>
      </c>
      <c r="M33" t="e">
        <f>AND(OnDemandVsReservedPercentage!F13,"AAAAAD6z/Qw=")</f>
        <v>#VALUE!</v>
      </c>
      <c r="N33" t="e">
        <f>AND(OnDemandVsReservedPercentage!F14,"AAAAAD6z/Q0=")</f>
        <v>#VALUE!</v>
      </c>
      <c r="O33" t="e">
        <f>AND(OnDemandVsReservedPercentage!F15,"AAAAAD6z/Q4=")</f>
        <v>#VALUE!</v>
      </c>
      <c r="P33" t="e">
        <f>AND(OnDemandVsReservedPercentage!F16,"AAAAAD6z/Q8=")</f>
        <v>#VALUE!</v>
      </c>
      <c r="Q33" t="e">
        <f>AND(OnDemandVsReservedPercentage!F17,"AAAAAD6z/RA=")</f>
        <v>#VALUE!</v>
      </c>
      <c r="R33" t="e">
        <f>AND(OnDemandVsReservedPercentage!F18,"AAAAAD6z/RE=")</f>
        <v>#VALUE!</v>
      </c>
      <c r="S33" t="e">
        <f>AND(OnDemandVsReservedPercentage!F19,"AAAAAD6z/RI=")</f>
        <v>#VALUE!</v>
      </c>
      <c r="T33" t="e">
        <f>AND(OnDemandVsReservedPercentage!F20,"AAAAAD6z/RM=")</f>
        <v>#VALUE!</v>
      </c>
      <c r="U33" t="e">
        <f>AND(OnDemandVsReservedPercentage!F21,"AAAAAD6z/RQ=")</f>
        <v>#VALUE!</v>
      </c>
      <c r="V33" t="e">
        <f>AND(OnDemandVsReservedPercentage!F22,"AAAAAD6z/RU=")</f>
        <v>#VALUE!</v>
      </c>
      <c r="W33" t="e">
        <f>AND(OnDemandVsReservedPercentage!F23,"AAAAAD6z/RY=")</f>
        <v>#VALUE!</v>
      </c>
      <c r="X33" t="e">
        <f>AND(OnDemandVsReservedPercentage!F24,"AAAAAD6z/Rc=")</f>
        <v>#VALUE!</v>
      </c>
      <c r="Y33" t="e">
        <f>AND(OnDemandVsReservedPercentage!F25,"AAAAAD6z/Rg=")</f>
        <v>#VALUE!</v>
      </c>
      <c r="Z33" t="e">
        <f>AND(OnDemandVsReservedPercentage!F26,"AAAAAD6z/Rk=")</f>
        <v>#VALUE!</v>
      </c>
      <c r="AA33" t="e">
        <f>AND(OnDemandVsReservedPercentage!F27,"AAAAAD6z/Ro=")</f>
        <v>#VALUE!</v>
      </c>
      <c r="AB33" t="e">
        <f>AND(OnDemandVsReservedPercentage!F28,"AAAAAD6z/Rs=")</f>
        <v>#VALUE!</v>
      </c>
      <c r="AC33" t="e">
        <f>AND(OnDemandVsReservedPercentage!F29,"AAAAAD6z/Rw=")</f>
        <v>#VALUE!</v>
      </c>
      <c r="AD33" t="e">
        <f>AND(OnDemandVsReservedPercentage!F30,"AAAAAD6z/R0=")</f>
        <v>#VALUE!</v>
      </c>
      <c r="AE33" t="e">
        <f>AND(OnDemandVsReservedPercentage!F31,"AAAAAD6z/R4=")</f>
        <v>#VALUE!</v>
      </c>
      <c r="AF33" t="e">
        <f>AND(OnDemandVsReservedPercentage!F32,"AAAAAD6z/R8=")</f>
        <v>#VALUE!</v>
      </c>
      <c r="AG33" t="e">
        <f>AND(OnDemandVsReservedPercentage!F33,"AAAAAD6z/SA=")</f>
        <v>#VALUE!</v>
      </c>
      <c r="AH33" t="e">
        <f>AND(OnDemandVsReservedPercentage!F34,"AAAAAD6z/SE=")</f>
        <v>#VALUE!</v>
      </c>
      <c r="AI33" t="e">
        <f>AND(OnDemandVsReservedPercentage!F35,"AAAAAD6z/SI=")</f>
        <v>#VALUE!</v>
      </c>
      <c r="AJ33" t="e">
        <f>AND(OnDemandVsReservedPercentage!F36,"AAAAAD6z/SM=")</f>
        <v>#VALUE!</v>
      </c>
      <c r="AK33" t="e">
        <f>AND(OnDemandVsReservedPercentage!F37,"AAAAAD6z/SQ=")</f>
        <v>#VALUE!</v>
      </c>
      <c r="AL33" t="e">
        <f>AND(OnDemandVsReservedPercentage!F38,"AAAAAD6z/SU=")</f>
        <v>#VALUE!</v>
      </c>
      <c r="AM33" t="e">
        <f>AND(OnDemandVsReservedPercentage!F39,"AAAAAD6z/SY=")</f>
        <v>#VALUE!</v>
      </c>
      <c r="AN33" t="e">
        <f>AND(OnDemandVsReservedPercentage!F40,"AAAAAD6z/Sc=")</f>
        <v>#VALUE!</v>
      </c>
      <c r="AO33" t="e">
        <f>AND(OnDemandVsReservedPercentage!F41,"AAAAAD6z/Sg=")</f>
        <v>#VALUE!</v>
      </c>
      <c r="AP33" t="e">
        <f>AND(OnDemandVsReservedPercentage!F42,"AAAAAD6z/Sk=")</f>
        <v>#VALUE!</v>
      </c>
      <c r="AQ33" t="e">
        <f>AND(OnDemandVsReservedPercentage!F43,"AAAAAD6z/So=")</f>
        <v>#VALUE!</v>
      </c>
      <c r="AR33" t="e">
        <f>AND(OnDemandVsReservedPercentage!F44,"AAAAAD6z/Ss=")</f>
        <v>#VALUE!</v>
      </c>
      <c r="AS33" t="e">
        <f>AND(OnDemandVsReservedPercentage!F45,"AAAAAD6z/Sw=")</f>
        <v>#VALUE!</v>
      </c>
      <c r="AT33" t="e">
        <f>AND(OnDemandVsReservedPercentage!F46,"AAAAAD6z/S0=")</f>
        <v>#VALUE!</v>
      </c>
      <c r="AU33" t="e">
        <f>AND(OnDemandVsReservedPercentage!F47,"AAAAAD6z/S4=")</f>
        <v>#VALUE!</v>
      </c>
      <c r="AV33" t="e">
        <f>AND(OnDemandVsReservedPercentage!F48,"AAAAAD6z/S8=")</f>
        <v>#VALUE!</v>
      </c>
      <c r="AW33" t="e">
        <f>AND(OnDemandVsReservedPercentage!F49,"AAAAAD6z/TA=")</f>
        <v>#VALUE!</v>
      </c>
      <c r="AX33" t="e">
        <f>AND(OnDemandVsReservedPercentage!F50,"AAAAAD6z/TE=")</f>
        <v>#VALUE!</v>
      </c>
      <c r="AY33" t="e">
        <f>AND(OnDemandVsReservedPercentage!F51,"AAAAAD6z/TI=")</f>
        <v>#VALUE!</v>
      </c>
      <c r="AZ33" t="e">
        <f>AND(OnDemandVsReservedPercentage!F52,"AAAAAD6z/TM=")</f>
        <v>#VALUE!</v>
      </c>
      <c r="BA33" t="e">
        <f>AND(OnDemandVsReservedPercentage!F53,"AAAAAD6z/TQ=")</f>
        <v>#VALUE!</v>
      </c>
      <c r="BB33">
        <f>IF(OnDemandVsReservedPercentage!F:F,"AAAAAD6z/TU=",0)</f>
        <v>0</v>
      </c>
    </row>
    <row r="34" spans="1:256" x14ac:dyDescent="0.25">
      <c r="A34">
        <f>IF(OnDemandVsReservedOverview!173:173,"AAAAAHf0WgA=",0)</f>
        <v>0</v>
      </c>
      <c r="B34" t="e">
        <f>AND(OnDemandVsReservedOverview!A173,"AAAAAHf0WgE=")</f>
        <v>#VALUE!</v>
      </c>
      <c r="C34" t="e">
        <f>AND(OnDemandVsReservedOverview!B173,"AAAAAHf0WgI=")</f>
        <v>#VALUE!</v>
      </c>
      <c r="D34" t="e">
        <f>AND(OnDemandVsReservedOverview!C173,"AAAAAHf0WgM=")</f>
        <v>#VALUE!</v>
      </c>
      <c r="E34" t="e">
        <f>AND(OnDemandVsReservedOverview!D173,"AAAAAHf0WgQ=")</f>
        <v>#VALUE!</v>
      </c>
      <c r="F34" t="e">
        <f>AND(OnDemandVsReservedOverview!E173,"AAAAAHf0WgU=")</f>
        <v>#VALUE!</v>
      </c>
      <c r="G34" t="e">
        <f>AND(OnDemandVsReservedOverview!F173,"AAAAAHf0WgY=")</f>
        <v>#VALUE!</v>
      </c>
      <c r="H34" t="e">
        <f>AND(OnDemandVsReservedOverview!G173,"AAAAAHf0Wgc=")</f>
        <v>#VALUE!</v>
      </c>
      <c r="I34">
        <f>IF(OnDemandVsReservedOverview!174:174,"AAAAAHf0Wgg=",0)</f>
        <v>0</v>
      </c>
      <c r="J34" t="e">
        <f>AND(OnDemandVsReservedOverview!A174,"AAAAAHf0Wgk=")</f>
        <v>#VALUE!</v>
      </c>
      <c r="K34" t="e">
        <f>AND(OnDemandVsReservedOverview!B174,"AAAAAHf0Wgo=")</f>
        <v>#VALUE!</v>
      </c>
      <c r="L34" t="e">
        <f>AND(OnDemandVsReservedOverview!C174,"AAAAAHf0Wgs=")</f>
        <v>#VALUE!</v>
      </c>
      <c r="M34" t="e">
        <f>AND(OnDemandVsReservedOverview!D174,"AAAAAHf0Wgw=")</f>
        <v>#VALUE!</v>
      </c>
      <c r="N34" t="e">
        <f>AND(OnDemandVsReservedOverview!E174,"AAAAAHf0Wg0=")</f>
        <v>#VALUE!</v>
      </c>
      <c r="O34" t="e">
        <f>AND(OnDemandVsReservedOverview!F174,"AAAAAHf0Wg4=")</f>
        <v>#VALUE!</v>
      </c>
      <c r="P34" t="e">
        <f>AND(OnDemandVsReservedOverview!G174,"AAAAAHf0Wg8=")</f>
        <v>#VALUE!</v>
      </c>
      <c r="Q34">
        <f>IF(OnDemandVsReservedOverview!175:175,"AAAAAHf0WhA=",0)</f>
        <v>0</v>
      </c>
      <c r="R34" t="e">
        <f>AND(OnDemandVsReservedOverview!A175,"AAAAAHf0WhE=")</f>
        <v>#VALUE!</v>
      </c>
      <c r="S34" t="e">
        <f>AND(OnDemandVsReservedOverview!B175,"AAAAAHf0WhI=")</f>
        <v>#VALUE!</v>
      </c>
      <c r="T34" t="e">
        <f>AND(OnDemandVsReservedOverview!C175,"AAAAAHf0WhM=")</f>
        <v>#VALUE!</v>
      </c>
      <c r="U34" t="e">
        <f>AND(OnDemandVsReservedOverview!D175,"AAAAAHf0WhQ=")</f>
        <v>#VALUE!</v>
      </c>
      <c r="V34" t="e">
        <f>AND(OnDemandVsReservedOverview!E175,"AAAAAHf0WhU=")</f>
        <v>#VALUE!</v>
      </c>
      <c r="W34" t="e">
        <f>AND(OnDemandVsReservedOverview!F175,"AAAAAHf0WhY=")</f>
        <v>#VALUE!</v>
      </c>
      <c r="X34" t="e">
        <f>AND(OnDemandVsReservedOverview!G175,"AAAAAHf0Whc=")</f>
        <v>#VALUE!</v>
      </c>
      <c r="Y34">
        <f>IF(OnDemandVsReservedOverview!176:176,"AAAAAHf0Whg=",0)</f>
        <v>0</v>
      </c>
      <c r="Z34" t="e">
        <f>AND(OnDemandVsReservedOverview!A176,"AAAAAHf0Whk=")</f>
        <v>#VALUE!</v>
      </c>
      <c r="AA34" t="e">
        <f>AND(OnDemandVsReservedOverview!B176,"AAAAAHf0Who=")</f>
        <v>#VALUE!</v>
      </c>
      <c r="AB34" t="e">
        <f>AND(OnDemandVsReservedOverview!C176,"AAAAAHf0Whs=")</f>
        <v>#VALUE!</v>
      </c>
      <c r="AC34" t="e">
        <f>AND(OnDemandVsReservedOverview!D176,"AAAAAHf0Whw=")</f>
        <v>#VALUE!</v>
      </c>
      <c r="AD34" t="e">
        <f>AND(OnDemandVsReservedOverview!E176,"AAAAAHf0Wh0=")</f>
        <v>#VALUE!</v>
      </c>
      <c r="AE34" t="e">
        <f>AND(OnDemandVsReservedOverview!F176,"AAAAAHf0Wh4=")</f>
        <v>#VALUE!</v>
      </c>
      <c r="AF34" t="e">
        <f>AND(OnDemandVsReservedOverview!G176,"AAAAAHf0Wh8=")</f>
        <v>#VALUE!</v>
      </c>
      <c r="AG34">
        <f>IF(OnDemandVsReservedOverview!177:177,"AAAAAHf0WiA=",0)</f>
        <v>0</v>
      </c>
      <c r="AH34" t="e">
        <f>AND(OnDemandVsReservedOverview!A177,"AAAAAHf0WiE=")</f>
        <v>#VALUE!</v>
      </c>
      <c r="AI34" t="e">
        <f>AND(OnDemandVsReservedOverview!B177,"AAAAAHf0WiI=")</f>
        <v>#VALUE!</v>
      </c>
      <c r="AJ34" t="e">
        <f>AND(OnDemandVsReservedOverview!C177,"AAAAAHf0WiM=")</f>
        <v>#VALUE!</v>
      </c>
      <c r="AK34" t="e">
        <f>AND(OnDemandVsReservedOverview!D177,"AAAAAHf0WiQ=")</f>
        <v>#VALUE!</v>
      </c>
      <c r="AL34" t="e">
        <f>AND(OnDemandVsReservedOverview!E177,"AAAAAHf0WiU=")</f>
        <v>#VALUE!</v>
      </c>
      <c r="AM34" t="e">
        <f>AND(OnDemandVsReservedOverview!F177,"AAAAAHf0WiY=")</f>
        <v>#VALUE!</v>
      </c>
      <c r="AN34" t="e">
        <f>AND(OnDemandVsReservedOverview!G177,"AAAAAHf0Wic=")</f>
        <v>#VALUE!</v>
      </c>
      <c r="AO34">
        <f>IF(OnDemandVsReservedOverview!178:178,"AAAAAHf0Wig=",0)</f>
        <v>0</v>
      </c>
      <c r="AP34" t="e">
        <f>AND(OnDemandVsReservedOverview!A178,"AAAAAHf0Wik=")</f>
        <v>#VALUE!</v>
      </c>
      <c r="AQ34" t="e">
        <f>AND(OnDemandVsReservedOverview!B178,"AAAAAHf0Wio=")</f>
        <v>#VALUE!</v>
      </c>
      <c r="AR34" t="e">
        <f>AND(OnDemandVsReservedOverview!C178,"AAAAAHf0Wis=")</f>
        <v>#VALUE!</v>
      </c>
      <c r="AS34" t="e">
        <f>AND(OnDemandVsReservedOverview!D178,"AAAAAHf0Wiw=")</f>
        <v>#VALUE!</v>
      </c>
      <c r="AT34" t="e">
        <f>AND(OnDemandVsReservedOverview!E178,"AAAAAHf0Wi0=")</f>
        <v>#VALUE!</v>
      </c>
      <c r="AU34" t="e">
        <f>AND(OnDemandVsReservedOverview!F178,"AAAAAHf0Wi4=")</f>
        <v>#VALUE!</v>
      </c>
      <c r="AV34" t="e">
        <f>AND(OnDemandVsReservedOverview!G178,"AAAAAHf0Wi8=")</f>
        <v>#VALUE!</v>
      </c>
      <c r="AW34">
        <f>IF(OnDemandVsReservedOverview!179:179,"AAAAAHf0WjA=",0)</f>
        <v>0</v>
      </c>
      <c r="AX34" t="e">
        <f>AND(OnDemandVsReservedOverview!A179,"AAAAAHf0WjE=")</f>
        <v>#VALUE!</v>
      </c>
      <c r="AY34" t="e">
        <f>AND(OnDemandVsReservedOverview!B179,"AAAAAHf0WjI=")</f>
        <v>#VALUE!</v>
      </c>
      <c r="AZ34" t="e">
        <f>AND(OnDemandVsReservedOverview!C179,"AAAAAHf0WjM=")</f>
        <v>#VALUE!</v>
      </c>
      <c r="BA34" t="e">
        <f>AND(OnDemandVsReservedOverview!D179,"AAAAAHf0WjQ=")</f>
        <v>#VALUE!</v>
      </c>
      <c r="BB34" t="e">
        <f>AND(OnDemandVsReservedOverview!E179,"AAAAAHf0WjU=")</f>
        <v>#VALUE!</v>
      </c>
      <c r="BC34" t="e">
        <f>AND(OnDemandVsReservedOverview!F179,"AAAAAHf0WjY=")</f>
        <v>#VALUE!</v>
      </c>
      <c r="BD34" t="e">
        <f>AND(OnDemandVsReservedOverview!G179,"AAAAAHf0Wjc=")</f>
        <v>#VALUE!</v>
      </c>
      <c r="BE34">
        <f>IF(OnDemandVsReservedOverview!180:180,"AAAAAHf0Wjg=",0)</f>
        <v>0</v>
      </c>
      <c r="BF34" t="e">
        <f>AND(OnDemandVsReservedOverview!A180,"AAAAAHf0Wjk=")</f>
        <v>#VALUE!</v>
      </c>
      <c r="BG34" t="e">
        <f>AND(OnDemandVsReservedOverview!B180,"AAAAAHf0Wjo=")</f>
        <v>#VALUE!</v>
      </c>
      <c r="BH34" t="e">
        <f>AND(OnDemandVsReservedOverview!C180,"AAAAAHf0Wjs=")</f>
        <v>#VALUE!</v>
      </c>
      <c r="BI34" t="e">
        <f>AND(OnDemandVsReservedOverview!D180,"AAAAAHf0Wjw=")</f>
        <v>#VALUE!</v>
      </c>
      <c r="BJ34" t="e">
        <f>AND(OnDemandVsReservedOverview!E180,"AAAAAHf0Wj0=")</f>
        <v>#VALUE!</v>
      </c>
      <c r="BK34" t="e">
        <f>AND(OnDemandVsReservedOverview!F180,"AAAAAHf0Wj4=")</f>
        <v>#VALUE!</v>
      </c>
      <c r="BL34" t="e">
        <f>AND(OnDemandVsReservedOverview!G180,"AAAAAHf0Wj8=")</f>
        <v>#VALUE!</v>
      </c>
      <c r="BM34">
        <f>IF(OnDemandVsReservedOverview!181:181,"AAAAAHf0WkA=",0)</f>
        <v>0</v>
      </c>
      <c r="BN34" t="e">
        <f>AND(OnDemandVsReservedOverview!A181,"AAAAAHf0WkE=")</f>
        <v>#VALUE!</v>
      </c>
      <c r="BO34" t="e">
        <f>AND(OnDemandVsReservedOverview!B181,"AAAAAHf0WkI=")</f>
        <v>#VALUE!</v>
      </c>
      <c r="BP34" t="e">
        <f>AND(OnDemandVsReservedOverview!C181,"AAAAAHf0WkM=")</f>
        <v>#VALUE!</v>
      </c>
      <c r="BQ34" t="e">
        <f>AND(OnDemandVsReservedOverview!D181,"AAAAAHf0WkQ=")</f>
        <v>#VALUE!</v>
      </c>
      <c r="BR34" t="e">
        <f>AND(OnDemandVsReservedOverview!E181,"AAAAAHf0WkU=")</f>
        <v>#VALUE!</v>
      </c>
      <c r="BS34" t="e">
        <f>AND(OnDemandVsReservedOverview!F181,"AAAAAHf0WkY=")</f>
        <v>#VALUE!</v>
      </c>
      <c r="BT34" t="e">
        <f>AND(OnDemandVsReservedOverview!G181,"AAAAAHf0Wkc=")</f>
        <v>#VALUE!</v>
      </c>
      <c r="BU34">
        <f>IF(OnDemandVsReservedOverview!182:182,"AAAAAHf0Wkg=",0)</f>
        <v>0</v>
      </c>
      <c r="BV34" t="e">
        <f>AND(OnDemandVsReservedOverview!A182,"AAAAAHf0Wkk=")</f>
        <v>#VALUE!</v>
      </c>
      <c r="BW34" t="e">
        <f>AND(OnDemandVsReservedOverview!B182,"AAAAAHf0Wko=")</f>
        <v>#VALUE!</v>
      </c>
      <c r="BX34" t="e">
        <f>AND(OnDemandVsReservedOverview!C182,"AAAAAHf0Wks=")</f>
        <v>#VALUE!</v>
      </c>
      <c r="BY34" t="e">
        <f>AND(OnDemandVsReservedOverview!D182,"AAAAAHf0Wkw=")</f>
        <v>#VALUE!</v>
      </c>
      <c r="BZ34" t="e">
        <f>AND(OnDemandVsReservedOverview!E182,"AAAAAHf0Wk0=")</f>
        <v>#VALUE!</v>
      </c>
      <c r="CA34" t="e">
        <f>AND(OnDemandVsReservedOverview!F182,"AAAAAHf0Wk4=")</f>
        <v>#VALUE!</v>
      </c>
      <c r="CB34" t="e">
        <f>AND(OnDemandVsReservedOverview!G182,"AAAAAHf0Wk8=")</f>
        <v>#VALUE!</v>
      </c>
      <c r="CC34">
        <f>IF(OnDemandVsReservedOverview!183:183,"AAAAAHf0WlA=",0)</f>
        <v>0</v>
      </c>
      <c r="CD34" t="e">
        <f>AND(OnDemandVsReservedOverview!A183,"AAAAAHf0WlE=")</f>
        <v>#VALUE!</v>
      </c>
      <c r="CE34" t="e">
        <f>AND(OnDemandVsReservedOverview!B183,"AAAAAHf0WlI=")</f>
        <v>#VALUE!</v>
      </c>
      <c r="CF34" t="e">
        <f>AND(OnDemandVsReservedOverview!C183,"AAAAAHf0WlM=")</f>
        <v>#VALUE!</v>
      </c>
      <c r="CG34" t="e">
        <f>AND(OnDemandVsReservedOverview!D183,"AAAAAHf0WlQ=")</f>
        <v>#VALUE!</v>
      </c>
      <c r="CH34" t="e">
        <f>AND(OnDemandVsReservedOverview!E183,"AAAAAHf0WlU=")</f>
        <v>#VALUE!</v>
      </c>
      <c r="CI34" t="e">
        <f>AND(OnDemandVsReservedOverview!F183,"AAAAAHf0WlY=")</f>
        <v>#VALUE!</v>
      </c>
      <c r="CJ34" t="e">
        <f>AND(OnDemandVsReservedOverview!G183,"AAAAAHf0Wlc=")</f>
        <v>#VALUE!</v>
      </c>
      <c r="CK34">
        <f>IF(OnDemandVsReservedOverview!184:184,"AAAAAHf0Wlg=",0)</f>
        <v>0</v>
      </c>
      <c r="CL34" t="e">
        <f>AND(OnDemandVsReservedOverview!A184,"AAAAAHf0Wlk=")</f>
        <v>#VALUE!</v>
      </c>
      <c r="CM34" t="e">
        <f>AND(OnDemandVsReservedOverview!B184,"AAAAAHf0Wlo=")</f>
        <v>#VALUE!</v>
      </c>
      <c r="CN34" t="e">
        <f>AND(OnDemandVsReservedOverview!C184,"AAAAAHf0Wls=")</f>
        <v>#VALUE!</v>
      </c>
      <c r="CO34" t="e">
        <f>AND(OnDemandVsReservedOverview!D184,"AAAAAHf0Wlw=")</f>
        <v>#VALUE!</v>
      </c>
      <c r="CP34" t="e">
        <f>AND(OnDemandVsReservedOverview!E184,"AAAAAHf0Wl0=")</f>
        <v>#VALUE!</v>
      </c>
      <c r="CQ34" t="e">
        <f>AND(OnDemandVsReservedOverview!F184,"AAAAAHf0Wl4=")</f>
        <v>#VALUE!</v>
      </c>
      <c r="CR34" t="e">
        <f>AND(OnDemandVsReservedOverview!G184,"AAAAAHf0Wl8=")</f>
        <v>#VALUE!</v>
      </c>
      <c r="CS34">
        <f>IF(OnDemandVsReservedOverview!185:185,"AAAAAHf0WmA=",0)</f>
        <v>0</v>
      </c>
      <c r="CT34" t="e">
        <f>AND(OnDemandVsReservedOverview!A185,"AAAAAHf0WmE=")</f>
        <v>#VALUE!</v>
      </c>
      <c r="CU34" t="e">
        <f>AND(OnDemandVsReservedOverview!B185,"AAAAAHf0WmI=")</f>
        <v>#VALUE!</v>
      </c>
      <c r="CV34" t="e">
        <f>AND(OnDemandVsReservedOverview!C185,"AAAAAHf0WmM=")</f>
        <v>#VALUE!</v>
      </c>
      <c r="CW34" t="e">
        <f>AND(OnDemandVsReservedOverview!D185,"AAAAAHf0WmQ=")</f>
        <v>#VALUE!</v>
      </c>
      <c r="CX34" t="e">
        <f>AND(OnDemandVsReservedOverview!E185,"AAAAAHf0WmU=")</f>
        <v>#VALUE!</v>
      </c>
      <c r="CY34" t="e">
        <f>AND(OnDemandVsReservedOverview!F185,"AAAAAHf0WmY=")</f>
        <v>#VALUE!</v>
      </c>
      <c r="CZ34" t="e">
        <f>AND(OnDemandVsReservedOverview!G185,"AAAAAHf0Wmc=")</f>
        <v>#VALUE!</v>
      </c>
      <c r="DA34">
        <f>IF(OnDemandVsReservedOverview!186:186,"AAAAAHf0Wmg=",0)</f>
        <v>0</v>
      </c>
      <c r="DB34" t="e">
        <f>AND(OnDemandVsReservedOverview!A186,"AAAAAHf0Wmk=")</f>
        <v>#VALUE!</v>
      </c>
      <c r="DC34" t="e">
        <f>AND(OnDemandVsReservedOverview!B186,"AAAAAHf0Wmo=")</f>
        <v>#VALUE!</v>
      </c>
      <c r="DD34" t="e">
        <f>AND(OnDemandVsReservedOverview!C186,"AAAAAHf0Wms=")</f>
        <v>#VALUE!</v>
      </c>
      <c r="DE34" t="e">
        <f>AND(OnDemandVsReservedOverview!D186,"AAAAAHf0Wmw=")</f>
        <v>#VALUE!</v>
      </c>
      <c r="DF34" t="e">
        <f>AND(OnDemandVsReservedOverview!E186,"AAAAAHf0Wm0=")</f>
        <v>#VALUE!</v>
      </c>
      <c r="DG34" t="e">
        <f>AND(OnDemandVsReservedOverview!F186,"AAAAAHf0Wm4=")</f>
        <v>#VALUE!</v>
      </c>
      <c r="DH34" t="e">
        <f>AND(OnDemandVsReservedOverview!G186,"AAAAAHf0Wm8=")</f>
        <v>#VALUE!</v>
      </c>
      <c r="DI34">
        <f>IF(OnDemandVsReservedOverview!187:187,"AAAAAHf0WnA=",0)</f>
        <v>0</v>
      </c>
      <c r="DJ34" t="e">
        <f>AND(OnDemandVsReservedOverview!A187,"AAAAAHf0WnE=")</f>
        <v>#VALUE!</v>
      </c>
      <c r="DK34" t="e">
        <f>AND(OnDemandVsReservedOverview!B187,"AAAAAHf0WnI=")</f>
        <v>#VALUE!</v>
      </c>
      <c r="DL34" t="e">
        <f>AND(OnDemandVsReservedOverview!C187,"AAAAAHf0WnM=")</f>
        <v>#VALUE!</v>
      </c>
      <c r="DM34" t="e">
        <f>AND(OnDemandVsReservedOverview!D187,"AAAAAHf0WnQ=")</f>
        <v>#VALUE!</v>
      </c>
      <c r="DN34" t="e">
        <f>AND(OnDemandVsReservedOverview!E187,"AAAAAHf0WnU=")</f>
        <v>#VALUE!</v>
      </c>
      <c r="DO34" t="e">
        <f>AND(OnDemandVsReservedOverview!F187,"AAAAAHf0WnY=")</f>
        <v>#VALUE!</v>
      </c>
      <c r="DP34" t="e">
        <f>AND(OnDemandVsReservedOverview!G187,"AAAAAHf0Wnc=")</f>
        <v>#VALUE!</v>
      </c>
      <c r="DQ34">
        <f>IF(OnDemandVsReservedOverview!188:188,"AAAAAHf0Wng=",0)</f>
        <v>0</v>
      </c>
      <c r="DR34" t="e">
        <f>AND(OnDemandVsReservedOverview!A188,"AAAAAHf0Wnk=")</f>
        <v>#VALUE!</v>
      </c>
      <c r="DS34" t="e">
        <f>AND(OnDemandVsReservedOverview!B188,"AAAAAHf0Wno=")</f>
        <v>#VALUE!</v>
      </c>
      <c r="DT34" t="e">
        <f>AND(OnDemandVsReservedOverview!C188,"AAAAAHf0Wns=")</f>
        <v>#VALUE!</v>
      </c>
      <c r="DU34" t="e">
        <f>AND(OnDemandVsReservedOverview!D188,"AAAAAHf0Wnw=")</f>
        <v>#VALUE!</v>
      </c>
      <c r="DV34" t="e">
        <f>AND(OnDemandVsReservedOverview!E188,"AAAAAHf0Wn0=")</f>
        <v>#VALUE!</v>
      </c>
      <c r="DW34" t="e">
        <f>AND(OnDemandVsReservedOverview!F188,"AAAAAHf0Wn4=")</f>
        <v>#VALUE!</v>
      </c>
      <c r="DX34" t="e">
        <f>AND(OnDemandVsReservedOverview!G188,"AAAAAHf0Wn8=")</f>
        <v>#VALUE!</v>
      </c>
      <c r="DY34">
        <f>IF(OnDemandVsReservedOverview!189:189,"AAAAAHf0WoA=",0)</f>
        <v>0</v>
      </c>
      <c r="DZ34" t="e">
        <f>AND(OnDemandVsReservedOverview!A189,"AAAAAHf0WoE=")</f>
        <v>#VALUE!</v>
      </c>
      <c r="EA34" t="e">
        <f>AND(OnDemandVsReservedOverview!B189,"AAAAAHf0WoI=")</f>
        <v>#VALUE!</v>
      </c>
      <c r="EB34" t="e">
        <f>AND(OnDemandVsReservedOverview!C189,"AAAAAHf0WoM=")</f>
        <v>#VALUE!</v>
      </c>
      <c r="EC34" t="e">
        <f>AND(OnDemandVsReservedOverview!D189,"AAAAAHf0WoQ=")</f>
        <v>#VALUE!</v>
      </c>
      <c r="ED34" t="e">
        <f>AND(OnDemandVsReservedOverview!E189,"AAAAAHf0WoU=")</f>
        <v>#VALUE!</v>
      </c>
      <c r="EE34" t="e">
        <f>AND(OnDemandVsReservedOverview!F189,"AAAAAHf0WoY=")</f>
        <v>#VALUE!</v>
      </c>
      <c r="EF34" t="e">
        <f>AND(OnDemandVsReservedOverview!G189,"AAAAAHf0Woc=")</f>
        <v>#VALUE!</v>
      </c>
      <c r="EG34">
        <f>IF(OnDemandVsReservedOverview!190:190,"AAAAAHf0Wog=",0)</f>
        <v>0</v>
      </c>
      <c r="EH34" t="e">
        <f>AND(OnDemandVsReservedOverview!A190,"AAAAAHf0Wok=")</f>
        <v>#VALUE!</v>
      </c>
      <c r="EI34" t="e">
        <f>AND(OnDemandVsReservedOverview!B190,"AAAAAHf0Woo=")</f>
        <v>#VALUE!</v>
      </c>
      <c r="EJ34" t="e">
        <f>AND(OnDemandVsReservedOverview!C190,"AAAAAHf0Wos=")</f>
        <v>#VALUE!</v>
      </c>
      <c r="EK34" t="e">
        <f>AND(OnDemandVsReservedOverview!D190,"AAAAAHf0Wow=")</f>
        <v>#VALUE!</v>
      </c>
      <c r="EL34" t="e">
        <f>AND(OnDemandVsReservedOverview!E190,"AAAAAHf0Wo0=")</f>
        <v>#VALUE!</v>
      </c>
      <c r="EM34" t="e">
        <f>AND(OnDemandVsReservedOverview!F190,"AAAAAHf0Wo4=")</f>
        <v>#VALUE!</v>
      </c>
      <c r="EN34" t="e">
        <f>AND(OnDemandVsReservedOverview!G190,"AAAAAHf0Wo8=")</f>
        <v>#VALUE!</v>
      </c>
      <c r="EO34">
        <f>IF(OnDemandVsReservedOverview!191:191,"AAAAAHf0WpA=",0)</f>
        <v>0</v>
      </c>
      <c r="EP34" t="e">
        <f>AND(OnDemandVsReservedOverview!A191,"AAAAAHf0WpE=")</f>
        <v>#VALUE!</v>
      </c>
      <c r="EQ34" t="e">
        <f>AND(OnDemandVsReservedOverview!B191,"AAAAAHf0WpI=")</f>
        <v>#VALUE!</v>
      </c>
      <c r="ER34" t="e">
        <f>AND(OnDemandVsReservedOverview!C191,"AAAAAHf0WpM=")</f>
        <v>#VALUE!</v>
      </c>
      <c r="ES34" t="e">
        <f>AND(OnDemandVsReservedOverview!D191,"AAAAAHf0WpQ=")</f>
        <v>#VALUE!</v>
      </c>
      <c r="ET34" t="e">
        <f>AND(OnDemandVsReservedOverview!E191,"AAAAAHf0WpU=")</f>
        <v>#VALUE!</v>
      </c>
      <c r="EU34" t="e">
        <f>AND(OnDemandVsReservedOverview!F191,"AAAAAHf0WpY=")</f>
        <v>#VALUE!</v>
      </c>
      <c r="EV34" t="e">
        <f>AND(OnDemandVsReservedOverview!G191,"AAAAAHf0Wpc=")</f>
        <v>#VALUE!</v>
      </c>
      <c r="EW34">
        <f>IF(OnDemandVsReservedOverview!192:192,"AAAAAHf0Wpg=",0)</f>
        <v>0</v>
      </c>
      <c r="EX34" t="e">
        <f>AND(OnDemandVsReservedOverview!A192,"AAAAAHf0Wpk=")</f>
        <v>#VALUE!</v>
      </c>
      <c r="EY34" t="e">
        <f>AND(OnDemandVsReservedOverview!B192,"AAAAAHf0Wpo=")</f>
        <v>#VALUE!</v>
      </c>
      <c r="EZ34" t="e">
        <f>AND(OnDemandVsReservedOverview!C192,"AAAAAHf0Wps=")</f>
        <v>#VALUE!</v>
      </c>
      <c r="FA34" t="e">
        <f>AND(OnDemandVsReservedOverview!D192,"AAAAAHf0Wpw=")</f>
        <v>#VALUE!</v>
      </c>
      <c r="FB34" t="e">
        <f>AND(OnDemandVsReservedOverview!E192,"AAAAAHf0Wp0=")</f>
        <v>#VALUE!</v>
      </c>
      <c r="FC34" t="e">
        <f>AND(OnDemandVsReservedOverview!F192,"AAAAAHf0Wp4=")</f>
        <v>#VALUE!</v>
      </c>
      <c r="FD34" t="e">
        <f>AND(OnDemandVsReservedOverview!G192,"AAAAAHf0Wp8=")</f>
        <v>#VALUE!</v>
      </c>
      <c r="FE34">
        <f>IF(OnDemandVsReservedOverview!193:193,"AAAAAHf0WqA=",0)</f>
        <v>0</v>
      </c>
      <c r="FF34" t="e">
        <f>AND(OnDemandVsReservedOverview!A193,"AAAAAHf0WqE=")</f>
        <v>#VALUE!</v>
      </c>
      <c r="FG34" t="e">
        <f>AND(OnDemandVsReservedOverview!B193,"AAAAAHf0WqI=")</f>
        <v>#VALUE!</v>
      </c>
      <c r="FH34" t="e">
        <f>AND(OnDemandVsReservedOverview!C193,"AAAAAHf0WqM=")</f>
        <v>#VALUE!</v>
      </c>
      <c r="FI34" t="e">
        <f>AND(OnDemandVsReservedOverview!D193,"AAAAAHf0WqQ=")</f>
        <v>#VALUE!</v>
      </c>
      <c r="FJ34" t="e">
        <f>AND(OnDemandVsReservedOverview!E193,"AAAAAHf0WqU=")</f>
        <v>#VALUE!</v>
      </c>
      <c r="FK34" t="e">
        <f>AND(OnDemandVsReservedOverview!F193,"AAAAAHf0WqY=")</f>
        <v>#VALUE!</v>
      </c>
      <c r="FL34" t="e">
        <f>AND(OnDemandVsReservedOverview!G193,"AAAAAHf0Wqc=")</f>
        <v>#VALUE!</v>
      </c>
      <c r="FM34">
        <f>IF(OnDemandVsReservedOverview!194:194,"AAAAAHf0Wqg=",0)</f>
        <v>0</v>
      </c>
      <c r="FN34" t="e">
        <f>AND(OnDemandVsReservedOverview!A194,"AAAAAHf0Wqk=")</f>
        <v>#VALUE!</v>
      </c>
      <c r="FO34" t="e">
        <f>AND(OnDemandVsReservedOverview!B194,"AAAAAHf0Wqo=")</f>
        <v>#VALUE!</v>
      </c>
      <c r="FP34" t="e">
        <f>AND(OnDemandVsReservedOverview!C194,"AAAAAHf0Wqs=")</f>
        <v>#VALUE!</v>
      </c>
      <c r="FQ34" t="e">
        <f>AND(OnDemandVsReservedOverview!D194,"AAAAAHf0Wqw=")</f>
        <v>#VALUE!</v>
      </c>
      <c r="FR34" t="e">
        <f>AND(OnDemandVsReservedOverview!E194,"AAAAAHf0Wq0=")</f>
        <v>#VALUE!</v>
      </c>
      <c r="FS34" t="e">
        <f>AND(OnDemandVsReservedOverview!F194,"AAAAAHf0Wq4=")</f>
        <v>#VALUE!</v>
      </c>
      <c r="FT34" t="e">
        <f>AND(OnDemandVsReservedOverview!G194,"AAAAAHf0Wq8=")</f>
        <v>#VALUE!</v>
      </c>
      <c r="FU34">
        <f>IF(OnDemandVsReservedOverview!195:195,"AAAAAHf0WrA=",0)</f>
        <v>0</v>
      </c>
      <c r="FV34" t="e">
        <f>AND(OnDemandVsReservedOverview!A195,"AAAAAHf0WrE=")</f>
        <v>#VALUE!</v>
      </c>
      <c r="FW34" t="e">
        <f>AND(OnDemandVsReservedOverview!B195,"AAAAAHf0WrI=")</f>
        <v>#VALUE!</v>
      </c>
      <c r="FX34" t="e">
        <f>AND(OnDemandVsReservedOverview!C195,"AAAAAHf0WrM=")</f>
        <v>#VALUE!</v>
      </c>
      <c r="FY34" t="e">
        <f>AND(OnDemandVsReservedOverview!D195,"AAAAAHf0WrQ=")</f>
        <v>#VALUE!</v>
      </c>
      <c r="FZ34" t="e">
        <f>AND(OnDemandVsReservedOverview!E195,"AAAAAHf0WrU=")</f>
        <v>#VALUE!</v>
      </c>
      <c r="GA34" t="e">
        <f>AND(OnDemandVsReservedOverview!F195,"AAAAAHf0WrY=")</f>
        <v>#VALUE!</v>
      </c>
      <c r="GB34" t="e">
        <f>AND(OnDemandVsReservedOverview!G195,"AAAAAHf0Wrc=")</f>
        <v>#VALUE!</v>
      </c>
      <c r="GC34">
        <f>IF(OnDemandVsReservedOverview!196:196,"AAAAAHf0Wrg=",0)</f>
        <v>0</v>
      </c>
      <c r="GD34" t="e">
        <f>AND(OnDemandVsReservedOverview!A196,"AAAAAHf0Wrk=")</f>
        <v>#VALUE!</v>
      </c>
      <c r="GE34" t="e">
        <f>AND(OnDemandVsReservedOverview!B196,"AAAAAHf0Wro=")</f>
        <v>#VALUE!</v>
      </c>
      <c r="GF34" t="e">
        <f>AND(OnDemandVsReservedOverview!C196,"AAAAAHf0Wrs=")</f>
        <v>#VALUE!</v>
      </c>
      <c r="GG34" t="e">
        <f>AND(OnDemandVsReservedOverview!D196,"AAAAAHf0Wrw=")</f>
        <v>#VALUE!</v>
      </c>
      <c r="GH34" t="e">
        <f>AND(OnDemandVsReservedOverview!E196,"AAAAAHf0Wr0=")</f>
        <v>#VALUE!</v>
      </c>
      <c r="GI34" t="e">
        <f>AND(OnDemandVsReservedOverview!F196,"AAAAAHf0Wr4=")</f>
        <v>#VALUE!</v>
      </c>
      <c r="GJ34" t="e">
        <f>AND(OnDemandVsReservedOverview!G196,"AAAAAHf0Wr8=")</f>
        <v>#VALUE!</v>
      </c>
      <c r="GK34">
        <f>IF(OnDemandVsReservedOverview!197:197,"AAAAAHf0WsA=",0)</f>
        <v>0</v>
      </c>
      <c r="GL34" t="e">
        <f>AND(OnDemandVsReservedOverview!A197,"AAAAAHf0WsE=")</f>
        <v>#VALUE!</v>
      </c>
      <c r="GM34" t="e">
        <f>AND(OnDemandVsReservedOverview!B197,"AAAAAHf0WsI=")</f>
        <v>#VALUE!</v>
      </c>
      <c r="GN34" t="e">
        <f>AND(OnDemandVsReservedOverview!C197,"AAAAAHf0WsM=")</f>
        <v>#VALUE!</v>
      </c>
      <c r="GO34" t="e">
        <f>AND(OnDemandVsReservedOverview!D197,"AAAAAHf0WsQ=")</f>
        <v>#VALUE!</v>
      </c>
      <c r="GP34" t="e">
        <f>AND(OnDemandVsReservedOverview!E197,"AAAAAHf0WsU=")</f>
        <v>#VALUE!</v>
      </c>
      <c r="GQ34" t="e">
        <f>AND(OnDemandVsReservedOverview!F197,"AAAAAHf0WsY=")</f>
        <v>#VALUE!</v>
      </c>
      <c r="GR34" t="e">
        <f>AND(OnDemandVsReservedOverview!G197,"AAAAAHf0Wsc=")</f>
        <v>#VALUE!</v>
      </c>
      <c r="GS34">
        <f>IF(OnDemandVsReservedOverview!198:198,"AAAAAHf0Wsg=",0)</f>
        <v>0</v>
      </c>
      <c r="GT34" t="e">
        <f>AND(OnDemandVsReservedOverview!A198,"AAAAAHf0Wsk=")</f>
        <v>#VALUE!</v>
      </c>
      <c r="GU34" t="e">
        <f>AND(OnDemandVsReservedOverview!B198,"AAAAAHf0Wso=")</f>
        <v>#VALUE!</v>
      </c>
      <c r="GV34" t="e">
        <f>AND(OnDemandVsReservedOverview!C198,"AAAAAHf0Wss=")</f>
        <v>#VALUE!</v>
      </c>
      <c r="GW34" t="e">
        <f>AND(OnDemandVsReservedOverview!D198,"AAAAAHf0Wsw=")</f>
        <v>#VALUE!</v>
      </c>
      <c r="GX34" t="e">
        <f>AND(OnDemandVsReservedOverview!E198,"AAAAAHf0Ws0=")</f>
        <v>#VALUE!</v>
      </c>
      <c r="GY34" t="e">
        <f>AND(OnDemandVsReservedOverview!F198,"AAAAAHf0Ws4=")</f>
        <v>#VALUE!</v>
      </c>
      <c r="GZ34" t="e">
        <f>AND(OnDemandVsReservedOverview!G198,"AAAAAHf0Ws8=")</f>
        <v>#VALUE!</v>
      </c>
      <c r="HA34">
        <f>IF(OnDemandVsReservedOverview!199:199,"AAAAAHf0WtA=",0)</f>
        <v>0</v>
      </c>
      <c r="HB34" t="e">
        <f>AND(OnDemandVsReservedOverview!A199,"AAAAAHf0WtE=")</f>
        <v>#VALUE!</v>
      </c>
      <c r="HC34" t="e">
        <f>AND(OnDemandVsReservedOverview!B199,"AAAAAHf0WtI=")</f>
        <v>#VALUE!</v>
      </c>
      <c r="HD34" t="e">
        <f>AND(OnDemandVsReservedOverview!C199,"AAAAAHf0WtM=")</f>
        <v>#VALUE!</v>
      </c>
      <c r="HE34" t="e">
        <f>AND(OnDemandVsReservedOverview!D199,"AAAAAHf0WtQ=")</f>
        <v>#VALUE!</v>
      </c>
      <c r="HF34" t="e">
        <f>AND(OnDemandVsReservedOverview!E199,"AAAAAHf0WtU=")</f>
        <v>#VALUE!</v>
      </c>
      <c r="HG34" t="e">
        <f>AND(OnDemandVsReservedOverview!F199,"AAAAAHf0WtY=")</f>
        <v>#VALUE!</v>
      </c>
      <c r="HH34" t="e">
        <f>AND(OnDemandVsReservedOverview!G199,"AAAAAHf0Wtc=")</f>
        <v>#VALUE!</v>
      </c>
      <c r="HI34">
        <f>IF(OnDemandVsReservedOverview!200:200,"AAAAAHf0Wtg=",0)</f>
        <v>0</v>
      </c>
      <c r="HJ34" t="e">
        <f>AND(OnDemandVsReservedOverview!A200,"AAAAAHf0Wtk=")</f>
        <v>#VALUE!</v>
      </c>
      <c r="HK34" t="e">
        <f>AND(OnDemandVsReservedOverview!B200,"AAAAAHf0Wto=")</f>
        <v>#VALUE!</v>
      </c>
      <c r="HL34" t="e">
        <f>AND(OnDemandVsReservedOverview!C200,"AAAAAHf0Wts=")</f>
        <v>#VALUE!</v>
      </c>
      <c r="HM34" t="e">
        <f>AND(OnDemandVsReservedOverview!D200,"AAAAAHf0Wtw=")</f>
        <v>#VALUE!</v>
      </c>
      <c r="HN34" t="e">
        <f>AND(OnDemandVsReservedOverview!E200,"AAAAAHf0Wt0=")</f>
        <v>#VALUE!</v>
      </c>
      <c r="HO34" t="e">
        <f>AND(OnDemandVsReservedOverview!F200,"AAAAAHf0Wt4=")</f>
        <v>#VALUE!</v>
      </c>
      <c r="HP34" t="e">
        <f>AND(OnDemandVsReservedOverview!G200,"AAAAAHf0Wt8=")</f>
        <v>#VALUE!</v>
      </c>
      <c r="HQ34">
        <f>IF(OnDemandVsReservedOverview!201:201,"AAAAAHf0WuA=",0)</f>
        <v>0</v>
      </c>
      <c r="HR34" t="e">
        <f>AND(OnDemandVsReservedOverview!A201,"AAAAAHf0WuE=")</f>
        <v>#VALUE!</v>
      </c>
      <c r="HS34" t="e">
        <f>AND(OnDemandVsReservedOverview!B201,"AAAAAHf0WuI=")</f>
        <v>#VALUE!</v>
      </c>
      <c r="HT34" t="e">
        <f>AND(OnDemandVsReservedOverview!C201,"AAAAAHf0WuM=")</f>
        <v>#VALUE!</v>
      </c>
      <c r="HU34" t="e">
        <f>AND(OnDemandVsReservedOverview!D201,"AAAAAHf0WuQ=")</f>
        <v>#VALUE!</v>
      </c>
      <c r="HV34" t="e">
        <f>AND(OnDemandVsReservedOverview!E201,"AAAAAHf0WuU=")</f>
        <v>#VALUE!</v>
      </c>
      <c r="HW34" t="e">
        <f>AND(OnDemandVsReservedOverview!F201,"AAAAAHf0WuY=")</f>
        <v>#VALUE!</v>
      </c>
      <c r="HX34" t="e">
        <f>AND(OnDemandVsReservedOverview!G201,"AAAAAHf0Wuc=")</f>
        <v>#VALUE!</v>
      </c>
      <c r="HY34">
        <f>IF(OnDemandVsReservedOverview!202:202,"AAAAAHf0Wug=",0)</f>
        <v>0</v>
      </c>
      <c r="HZ34" t="e">
        <f>AND(OnDemandVsReservedOverview!A202,"AAAAAHf0Wuk=")</f>
        <v>#VALUE!</v>
      </c>
      <c r="IA34" t="e">
        <f>AND(OnDemandVsReservedOverview!B202,"AAAAAHf0Wuo=")</f>
        <v>#VALUE!</v>
      </c>
      <c r="IB34" t="e">
        <f>AND(OnDemandVsReservedOverview!C202,"AAAAAHf0Wus=")</f>
        <v>#VALUE!</v>
      </c>
      <c r="IC34" t="e">
        <f>AND(OnDemandVsReservedOverview!D202,"AAAAAHf0Wuw=")</f>
        <v>#VALUE!</v>
      </c>
      <c r="ID34" t="e">
        <f>AND(OnDemandVsReservedOverview!E202,"AAAAAHf0Wu0=")</f>
        <v>#VALUE!</v>
      </c>
      <c r="IE34" t="e">
        <f>AND(OnDemandVsReservedOverview!F202,"AAAAAHf0Wu4=")</f>
        <v>#VALUE!</v>
      </c>
      <c r="IF34" t="e">
        <f>AND(OnDemandVsReservedOverview!G202,"AAAAAHf0Wu8=")</f>
        <v>#VALUE!</v>
      </c>
      <c r="IG34">
        <f>IF(OnDemandVsReservedOverview!203:203,"AAAAAHf0WvA=",0)</f>
        <v>0</v>
      </c>
      <c r="IH34" t="e">
        <f>AND(OnDemandVsReservedOverview!A203,"AAAAAHf0WvE=")</f>
        <v>#VALUE!</v>
      </c>
      <c r="II34" t="e">
        <f>AND(OnDemandVsReservedOverview!B203,"AAAAAHf0WvI=")</f>
        <v>#VALUE!</v>
      </c>
      <c r="IJ34" t="e">
        <f>AND(OnDemandVsReservedOverview!C203,"AAAAAHf0WvM=")</f>
        <v>#VALUE!</v>
      </c>
      <c r="IK34" t="e">
        <f>AND(OnDemandVsReservedOverview!D203,"AAAAAHf0WvQ=")</f>
        <v>#VALUE!</v>
      </c>
      <c r="IL34" t="e">
        <f>AND(OnDemandVsReservedOverview!E203,"AAAAAHf0WvU=")</f>
        <v>#VALUE!</v>
      </c>
      <c r="IM34" t="e">
        <f>AND(OnDemandVsReservedOverview!F203,"AAAAAHf0WvY=")</f>
        <v>#VALUE!</v>
      </c>
      <c r="IN34" t="e">
        <f>AND(OnDemandVsReservedOverview!G203,"AAAAAHf0Wvc=")</f>
        <v>#VALUE!</v>
      </c>
      <c r="IO34">
        <f>IF(OnDemandVsReservedOverview!204:204,"AAAAAHf0Wvg=",0)</f>
        <v>0</v>
      </c>
      <c r="IP34" t="e">
        <f>AND(OnDemandVsReservedOverview!A204,"AAAAAHf0Wvk=")</f>
        <v>#VALUE!</v>
      </c>
      <c r="IQ34" t="e">
        <f>AND(OnDemandVsReservedOverview!B204,"AAAAAHf0Wvo=")</f>
        <v>#VALUE!</v>
      </c>
      <c r="IR34" t="e">
        <f>AND(OnDemandVsReservedOverview!C204,"AAAAAHf0Wvs=")</f>
        <v>#VALUE!</v>
      </c>
      <c r="IS34" t="e">
        <f>AND(OnDemandVsReservedOverview!D204,"AAAAAHf0Wvw=")</f>
        <v>#VALUE!</v>
      </c>
      <c r="IT34" t="e">
        <f>AND(OnDemandVsReservedOverview!E204,"AAAAAHf0Wv0=")</f>
        <v>#VALUE!</v>
      </c>
      <c r="IU34" t="e">
        <f>AND(OnDemandVsReservedOverview!F204,"AAAAAHf0Wv4=")</f>
        <v>#VALUE!</v>
      </c>
      <c r="IV34" t="e">
        <f>AND(OnDemandVsReservedOverview!G204,"AAAAAHf0Wv8=")</f>
        <v>#VALUE!</v>
      </c>
    </row>
    <row r="35" spans="1:256" x14ac:dyDescent="0.25">
      <c r="A35" t="e">
        <f>IF(OnDemandVsReservedOverview!205:205,"AAAAABvr+wA=",0)</f>
        <v>#VALUE!</v>
      </c>
      <c r="B35" t="e">
        <f>AND(OnDemandVsReservedOverview!A205,"AAAAABvr+wE=")</f>
        <v>#VALUE!</v>
      </c>
      <c r="C35" t="e">
        <f>AND(OnDemandVsReservedOverview!B205,"AAAAABvr+wI=")</f>
        <v>#VALUE!</v>
      </c>
      <c r="D35" t="e">
        <f>AND(OnDemandVsReservedOverview!C205,"AAAAABvr+wM=")</f>
        <v>#VALUE!</v>
      </c>
      <c r="E35" t="e">
        <f>AND(OnDemandVsReservedOverview!D205,"AAAAABvr+wQ=")</f>
        <v>#VALUE!</v>
      </c>
      <c r="F35" t="e">
        <f>AND(OnDemandVsReservedOverview!E205,"AAAAABvr+wU=")</f>
        <v>#VALUE!</v>
      </c>
      <c r="G35" t="e">
        <f>AND(OnDemandVsReservedOverview!F205,"AAAAABvr+wY=")</f>
        <v>#VALUE!</v>
      </c>
      <c r="H35" t="e">
        <f>AND(OnDemandVsReservedOverview!G205,"AAAAABvr+wc=")</f>
        <v>#VALUE!</v>
      </c>
      <c r="I35">
        <f>IF(OnDemandVsReservedOverview!206:206,"AAAAABvr+wg=",0)</f>
        <v>0</v>
      </c>
      <c r="J35" t="e">
        <f>AND(OnDemandVsReservedOverview!A206,"AAAAABvr+wk=")</f>
        <v>#VALUE!</v>
      </c>
      <c r="K35" t="e">
        <f>AND(OnDemandVsReservedOverview!B206,"AAAAABvr+wo=")</f>
        <v>#VALUE!</v>
      </c>
      <c r="L35" t="e">
        <f>AND(OnDemandVsReservedOverview!C206,"AAAAABvr+ws=")</f>
        <v>#VALUE!</v>
      </c>
      <c r="M35" t="e">
        <f>AND(OnDemandVsReservedOverview!D206,"AAAAABvr+ww=")</f>
        <v>#VALUE!</v>
      </c>
      <c r="N35" t="e">
        <f>AND(OnDemandVsReservedOverview!E206,"AAAAABvr+w0=")</f>
        <v>#VALUE!</v>
      </c>
      <c r="O35" t="e">
        <f>AND(OnDemandVsReservedOverview!F206,"AAAAABvr+w4=")</f>
        <v>#VALUE!</v>
      </c>
      <c r="P35" t="e">
        <f>AND(OnDemandVsReservedOverview!G206,"AAAAABvr+w8=")</f>
        <v>#VALUE!</v>
      </c>
      <c r="Q35">
        <f>IF(OnDemandVsReservedOverview!207:207,"AAAAABvr+xA=",0)</f>
        <v>0</v>
      </c>
      <c r="R35" t="e">
        <f>AND(OnDemandVsReservedOverview!A207,"AAAAABvr+xE=")</f>
        <v>#VALUE!</v>
      </c>
      <c r="S35" t="e">
        <f>AND(OnDemandVsReservedOverview!B207,"AAAAABvr+xI=")</f>
        <v>#VALUE!</v>
      </c>
      <c r="T35" t="e">
        <f>AND(OnDemandVsReservedOverview!C207,"AAAAABvr+xM=")</f>
        <v>#VALUE!</v>
      </c>
      <c r="U35" t="e">
        <f>AND(OnDemandVsReservedOverview!D207,"AAAAABvr+xQ=")</f>
        <v>#VALUE!</v>
      </c>
      <c r="V35" t="e">
        <f>AND(OnDemandVsReservedOverview!E207,"AAAAABvr+xU=")</f>
        <v>#VALUE!</v>
      </c>
      <c r="W35" t="e">
        <f>AND(OnDemandVsReservedOverview!F207,"AAAAABvr+xY=")</f>
        <v>#VALUE!</v>
      </c>
      <c r="X35" t="e">
        <f>AND(OnDemandVsReservedOverview!G207,"AAAAABvr+xc=")</f>
        <v>#VALUE!</v>
      </c>
      <c r="Y35">
        <f>IF(OnDemandVsReservedOverview!208:208,"AAAAABvr+xg=",0)</f>
        <v>0</v>
      </c>
      <c r="Z35" t="e">
        <f>AND(OnDemandVsReservedOverview!A208,"AAAAABvr+xk=")</f>
        <v>#VALUE!</v>
      </c>
      <c r="AA35" t="e">
        <f>AND(OnDemandVsReservedOverview!B208,"AAAAABvr+xo=")</f>
        <v>#VALUE!</v>
      </c>
      <c r="AB35" t="e">
        <f>AND(OnDemandVsReservedOverview!C208,"AAAAABvr+xs=")</f>
        <v>#VALUE!</v>
      </c>
      <c r="AC35" t="e">
        <f>AND(OnDemandVsReservedOverview!D208,"AAAAABvr+xw=")</f>
        <v>#VALUE!</v>
      </c>
      <c r="AD35" t="e">
        <f>AND(OnDemandVsReservedOverview!E208,"AAAAABvr+x0=")</f>
        <v>#VALUE!</v>
      </c>
      <c r="AE35" t="e">
        <f>AND(OnDemandVsReservedOverview!F208,"AAAAABvr+x4=")</f>
        <v>#VALUE!</v>
      </c>
      <c r="AF35" t="e">
        <f>AND(OnDemandVsReservedOverview!G208,"AAAAABvr+x8=")</f>
        <v>#VALUE!</v>
      </c>
      <c r="AG35">
        <f>IF(OnDemandVsReservedOverview!209:209,"AAAAABvr+yA=",0)</f>
        <v>0</v>
      </c>
      <c r="AH35" t="e">
        <f>AND(OnDemandVsReservedOverview!A209,"AAAAABvr+yE=")</f>
        <v>#VALUE!</v>
      </c>
      <c r="AI35" t="e">
        <f>AND(OnDemandVsReservedOverview!B209,"AAAAABvr+yI=")</f>
        <v>#VALUE!</v>
      </c>
      <c r="AJ35" t="e">
        <f>AND(OnDemandVsReservedOverview!C209,"AAAAABvr+yM=")</f>
        <v>#VALUE!</v>
      </c>
      <c r="AK35" t="e">
        <f>AND(OnDemandVsReservedOverview!D209,"AAAAABvr+yQ=")</f>
        <v>#VALUE!</v>
      </c>
      <c r="AL35" t="e">
        <f>AND(OnDemandVsReservedOverview!E209,"AAAAABvr+yU=")</f>
        <v>#VALUE!</v>
      </c>
      <c r="AM35" t="e">
        <f>AND(OnDemandVsReservedOverview!F209,"AAAAABvr+yY=")</f>
        <v>#VALUE!</v>
      </c>
      <c r="AN35" t="e">
        <f>AND(OnDemandVsReservedOverview!G209,"AAAAABvr+yc=")</f>
        <v>#VALUE!</v>
      </c>
      <c r="AO35">
        <f>IF(OnDemandVsReservedOverview!210:210,"AAAAABvr+yg=",0)</f>
        <v>0</v>
      </c>
      <c r="AP35" t="e">
        <f>AND(OnDemandVsReservedOverview!A210,"AAAAABvr+yk=")</f>
        <v>#VALUE!</v>
      </c>
      <c r="AQ35" t="e">
        <f>AND(OnDemandVsReservedOverview!B210,"AAAAABvr+yo=")</f>
        <v>#VALUE!</v>
      </c>
      <c r="AR35" t="e">
        <f>AND(OnDemandVsReservedOverview!C210,"AAAAABvr+ys=")</f>
        <v>#VALUE!</v>
      </c>
      <c r="AS35" t="e">
        <f>AND(OnDemandVsReservedOverview!D210,"AAAAABvr+yw=")</f>
        <v>#VALUE!</v>
      </c>
      <c r="AT35" t="e">
        <f>AND(OnDemandVsReservedOverview!E210,"AAAAABvr+y0=")</f>
        <v>#VALUE!</v>
      </c>
      <c r="AU35" t="e">
        <f>AND(OnDemandVsReservedOverview!F210,"AAAAABvr+y4=")</f>
        <v>#VALUE!</v>
      </c>
      <c r="AV35" t="e">
        <f>AND(OnDemandVsReservedOverview!G210,"AAAAABvr+y8=")</f>
        <v>#VALUE!</v>
      </c>
      <c r="AW35">
        <f>IF(OnDemandVsReservedOverview!211:211,"AAAAABvr+zA=",0)</f>
        <v>0</v>
      </c>
      <c r="AX35" t="e">
        <f>AND(OnDemandVsReservedOverview!A211,"AAAAABvr+zE=")</f>
        <v>#VALUE!</v>
      </c>
      <c r="AY35" t="e">
        <f>AND(OnDemandVsReservedOverview!B211,"AAAAABvr+zI=")</f>
        <v>#VALUE!</v>
      </c>
      <c r="AZ35" t="e">
        <f>AND(OnDemandVsReservedOverview!C211,"AAAAABvr+zM=")</f>
        <v>#VALUE!</v>
      </c>
      <c r="BA35" t="e">
        <f>AND(OnDemandVsReservedOverview!D211,"AAAAABvr+zQ=")</f>
        <v>#VALUE!</v>
      </c>
      <c r="BB35" t="e">
        <f>AND(OnDemandVsReservedOverview!E211,"AAAAABvr+zU=")</f>
        <v>#VALUE!</v>
      </c>
      <c r="BC35" t="e">
        <f>AND(OnDemandVsReservedOverview!F211,"AAAAABvr+zY=")</f>
        <v>#VALUE!</v>
      </c>
      <c r="BD35" t="e">
        <f>AND(OnDemandVsReservedOverview!G211,"AAAAABvr+zc=")</f>
        <v>#VALUE!</v>
      </c>
      <c r="BE35">
        <f>IF(OnDemandVsReservedOverview!212:212,"AAAAABvr+zg=",0)</f>
        <v>0</v>
      </c>
      <c r="BF35" t="e">
        <f>AND(OnDemandVsReservedOverview!A212,"AAAAABvr+zk=")</f>
        <v>#VALUE!</v>
      </c>
      <c r="BG35" t="e">
        <f>AND(OnDemandVsReservedOverview!B212,"AAAAABvr+zo=")</f>
        <v>#VALUE!</v>
      </c>
      <c r="BH35" t="e">
        <f>AND(OnDemandVsReservedOverview!C212,"AAAAABvr+zs=")</f>
        <v>#VALUE!</v>
      </c>
      <c r="BI35" t="e">
        <f>AND(OnDemandVsReservedOverview!D212,"AAAAABvr+zw=")</f>
        <v>#VALUE!</v>
      </c>
      <c r="BJ35" t="e">
        <f>AND(OnDemandVsReservedOverview!E212,"AAAAABvr+z0=")</f>
        <v>#VALUE!</v>
      </c>
      <c r="BK35" t="e">
        <f>AND(OnDemandVsReservedOverview!F212,"AAAAABvr+z4=")</f>
        <v>#VALUE!</v>
      </c>
      <c r="BL35" t="e">
        <f>AND(OnDemandVsReservedOverview!G212,"AAAAABvr+z8=")</f>
        <v>#VALUE!</v>
      </c>
      <c r="BM35">
        <f>IF(OnDemandVsReservedOverview!213:213,"AAAAABvr+0A=",0)</f>
        <v>0</v>
      </c>
      <c r="BN35" t="e">
        <f>AND(OnDemandVsReservedOverview!A213,"AAAAABvr+0E=")</f>
        <v>#VALUE!</v>
      </c>
      <c r="BO35" t="e">
        <f>AND(OnDemandVsReservedOverview!B213,"AAAAABvr+0I=")</f>
        <v>#VALUE!</v>
      </c>
      <c r="BP35" t="e">
        <f>AND(OnDemandVsReservedOverview!C213,"AAAAABvr+0M=")</f>
        <v>#VALUE!</v>
      </c>
      <c r="BQ35" t="e">
        <f>AND(OnDemandVsReservedOverview!D213,"AAAAABvr+0Q=")</f>
        <v>#VALUE!</v>
      </c>
      <c r="BR35" t="e">
        <f>AND(OnDemandVsReservedOverview!E213,"AAAAABvr+0U=")</f>
        <v>#VALUE!</v>
      </c>
      <c r="BS35" t="e">
        <f>AND(OnDemandVsReservedOverview!F213,"AAAAABvr+0Y=")</f>
        <v>#VALUE!</v>
      </c>
      <c r="BT35" t="e">
        <f>AND(OnDemandVsReservedOverview!G213,"AAAAABvr+0c=")</f>
        <v>#VALUE!</v>
      </c>
      <c r="BU35">
        <f>IF(OnDemandVsReservedOverview!214:214,"AAAAABvr+0g=",0)</f>
        <v>0</v>
      </c>
      <c r="BV35" t="e">
        <f>AND(OnDemandVsReservedOverview!A214,"AAAAABvr+0k=")</f>
        <v>#VALUE!</v>
      </c>
      <c r="BW35" t="e">
        <f>AND(OnDemandVsReservedOverview!B214,"AAAAABvr+0o=")</f>
        <v>#VALUE!</v>
      </c>
      <c r="BX35" t="e">
        <f>AND(OnDemandVsReservedOverview!C214,"AAAAABvr+0s=")</f>
        <v>#VALUE!</v>
      </c>
      <c r="BY35" t="e">
        <f>AND(OnDemandVsReservedOverview!D214,"AAAAABvr+0w=")</f>
        <v>#VALUE!</v>
      </c>
      <c r="BZ35" t="e">
        <f>AND(OnDemandVsReservedOverview!E214,"AAAAABvr+00=")</f>
        <v>#VALUE!</v>
      </c>
      <c r="CA35" t="e">
        <f>AND(OnDemandVsReservedOverview!F214,"AAAAABvr+04=")</f>
        <v>#VALUE!</v>
      </c>
      <c r="CB35" t="e">
        <f>AND(OnDemandVsReservedOverview!G214,"AAAAABvr+08=")</f>
        <v>#VALUE!</v>
      </c>
      <c r="CC35">
        <f>IF(OnDemandVsReservedOverview!215:215,"AAAAABvr+1A=",0)</f>
        <v>0</v>
      </c>
      <c r="CD35" t="e">
        <f>AND(OnDemandVsReservedOverview!A215,"AAAAABvr+1E=")</f>
        <v>#VALUE!</v>
      </c>
      <c r="CE35" t="e">
        <f>AND(OnDemandVsReservedOverview!B215,"AAAAABvr+1I=")</f>
        <v>#VALUE!</v>
      </c>
      <c r="CF35" t="e">
        <f>AND(OnDemandVsReservedOverview!C215,"AAAAABvr+1M=")</f>
        <v>#VALUE!</v>
      </c>
      <c r="CG35" t="e">
        <f>AND(OnDemandVsReservedOverview!D215,"AAAAABvr+1Q=")</f>
        <v>#VALUE!</v>
      </c>
      <c r="CH35" t="e">
        <f>AND(OnDemandVsReservedOverview!E215,"AAAAABvr+1U=")</f>
        <v>#VALUE!</v>
      </c>
      <c r="CI35" t="e">
        <f>AND(OnDemandVsReservedOverview!F215,"AAAAABvr+1Y=")</f>
        <v>#VALUE!</v>
      </c>
      <c r="CJ35" t="e">
        <f>AND(OnDemandVsReservedOverview!G215,"AAAAABvr+1c=")</f>
        <v>#VALUE!</v>
      </c>
    </row>
    <row r="36" spans="1:256" x14ac:dyDescent="0.25">
      <c r="A36" t="e">
        <f>AND(OnDemandVsReservedPercentage!F54,"AAAAAD3szwA=")</f>
        <v>#VALUE!</v>
      </c>
      <c r="B36" t="e">
        <f>AND(OnDemandVsReservedPercentage!F55,"AAAAAD3szwE=")</f>
        <v>#VALUE!</v>
      </c>
      <c r="C36" t="e">
        <f>AND(OnDemandVsReservedPercentage!F56,"AAAAAD3szwI=")</f>
        <v>#VALUE!</v>
      </c>
      <c r="D36" t="e">
        <f>AND(OnDemandVsReservedPercentage!F57,"AAAAAD3szwM=")</f>
        <v>#VALUE!</v>
      </c>
      <c r="E36" t="e">
        <f>AND(OnDemandVsReservedPercentage!F58,"AAAAAD3szwQ=")</f>
        <v>#VALUE!</v>
      </c>
      <c r="F36" t="e">
        <f>AND(OnDemandVsReservedPercentage!F59,"AAAAAD3szwU=")</f>
        <v>#VALUE!</v>
      </c>
      <c r="G36" t="e">
        <f>AND(OnDemandVsReservedPercentage!F60,"AAAAAD3szwY=")</f>
        <v>#VALUE!</v>
      </c>
      <c r="H36" t="e">
        <f>AND(OnDemandVsReservedPercentage!F61,"AAAAAD3szwc=")</f>
        <v>#VALUE!</v>
      </c>
      <c r="I36" t="e">
        <f>AND(OnDemandVsReservedPercentage!F62,"AAAAAD3szwg=")</f>
        <v>#VALUE!</v>
      </c>
      <c r="J36" t="e">
        <f>AND(OnDemandVsReservedPercentage!F63,"AAAAAD3szwk=")</f>
        <v>#VALUE!</v>
      </c>
    </row>
    <row r="37" spans="1:256" x14ac:dyDescent="0.25">
      <c r="A37" t="e">
        <f>AND(PriceComparison!A123,"AAAAAH2PnwA=")</f>
        <v>#VALUE!</v>
      </c>
      <c r="B37" t="e">
        <f>AND(PriceComparison!B123,"AAAAAH2PnwE=")</f>
        <v>#VALUE!</v>
      </c>
      <c r="C37" t="e">
        <f>AND(PriceComparison!C123,"AAAAAH2PnwI=")</f>
        <v>#VALUE!</v>
      </c>
      <c r="D37" t="e">
        <f>AND(PriceComparison!D123,"AAAAAH2PnwM=")</f>
        <v>#VALUE!</v>
      </c>
      <c r="E37" t="e">
        <f>AND(PriceComparison!E123,"AAAAAH2PnwQ=")</f>
        <v>#VALUE!</v>
      </c>
      <c r="F37" t="e">
        <f>AND(PriceComparison!F123,"AAAAAH2PnwU=")</f>
        <v>#VALUE!</v>
      </c>
    </row>
  </sheetData>
  <pageMargins left="0.7" right="0.7" top="0.75" bottom="0.75" header="0.3" footer="0.3"/>
  <customProperties>
    <customPr name="DVSECTION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Charts</vt:lpstr>
      </vt:variant>
      <vt:variant>
        <vt:i4>1</vt:i4>
      </vt:variant>
    </vt:vector>
  </HeadingPairs>
  <TitlesOfParts>
    <vt:vector size="9" baseType="lpstr">
      <vt:lpstr>PriceComparison</vt:lpstr>
      <vt:lpstr>PriceComparisonGraphs</vt:lpstr>
      <vt:lpstr>PriceComparisonNormalised</vt:lpstr>
      <vt:lpstr>SpotVsReserved</vt:lpstr>
      <vt:lpstr>OnDemandVsReserved</vt:lpstr>
      <vt:lpstr>OnDemandVsReservedExample</vt:lpstr>
      <vt:lpstr>OnDemandVsReservedOverview</vt:lpstr>
      <vt:lpstr>OnDemandVsReservedPercentage</vt:lpstr>
      <vt:lpstr>Chart1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2011-03-06T00:55:29Z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1BDwzn-XnzS053kFDjoMOfS-NucHEKFePgo8nogLq4vM</vt:lpwstr>
  </property>
  <property fmtid="{D5CDD505-2E9C-101B-9397-08002B2CF9AE}" pid="4" name="Google.Documents.RevisionId">
    <vt:lpwstr>02992032163178387015</vt:lpwstr>
  </property>
  <property fmtid="{D5CDD505-2E9C-101B-9397-08002B2CF9AE}" pid="5" name="Google.Documents.PreviousRevisionId">
    <vt:lpwstr>04389564576691549463</vt:lpwstr>
  </property>
  <property fmtid="{D5CDD505-2E9C-101B-9397-08002B2CF9AE}" pid="6" name="Google.Documents.PluginVersion">
    <vt:lpwstr>2.0.1974.7364</vt:lpwstr>
  </property>
  <property fmtid="{D5CDD505-2E9C-101B-9397-08002B2CF9AE}" pid="7" name="Google.Documents.MergeIncapabilityFlags">
    <vt:i4>0</vt:i4>
  </property>
</Properties>
</file>